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OBCHOD\2020\40_ČEPRO_DPS_Mstětice\DPS - FVE ČEPRO, a.s. - MSTĚTICE_R2\"/>
    </mc:Choice>
  </mc:AlternateContent>
  <xr:revisionPtr revIDLastSave="0" documentId="13_ncr:1_{711427E1-02AE-41E8-A4CF-B56317BE3B33}" xr6:coauthVersionLast="46" xr6:coauthVersionMax="46" xr10:uidLastSave="{00000000-0000-0000-0000-000000000000}"/>
  <workbookProtection workbookAlgorithmName="SHA-512" workbookHashValue="zi30wG0BQaDF4xG1uBQnm204h+Gj3NYDRc5bw6FOvrH+dzyOq2Ec7aAmnnDkoLbvpM3ArFBkktstp8D4oDpDXQ==" workbookSaltValue="i+8dWFCSYJTxluxfJyKNaQ==" workbookSpinCount="100000" lockStructure="1"/>
  <bookViews>
    <workbookView xWindow="28680" yWindow="-2730" windowWidth="38640" windowHeight="21240" tabRatio="818" xr2:uid="{00000000-000D-0000-FFFF-FFFF00000000}"/>
  </bookViews>
  <sheets>
    <sheet name="Rekapitulace" sheetId="1" r:id="rId1"/>
    <sheet name="SO01" sheetId="2" r:id="rId2"/>
    <sheet name="SO02" sheetId="16" r:id="rId3"/>
    <sheet name="SO03" sheetId="17" r:id="rId4"/>
    <sheet name="SO04" sheetId="19" r:id="rId5"/>
    <sheet name="IO01" sheetId="20" r:id="rId6"/>
    <sheet name="VN + ON" sheetId="10" r:id="rId7"/>
  </sheets>
  <definedNames>
    <definedName name="_">'SO02'!$C$4:$Q$4</definedName>
    <definedName name="_SO02">Rekapitulace!$A$89</definedName>
    <definedName name="_SO03">Rekapitulace!$A$90</definedName>
    <definedName name="_xlnm.Print_Titles" localSheetId="5">'IO01'!$109:$109</definedName>
    <definedName name="_xlnm.Print_Titles" localSheetId="0">Rekapitulace!$85:$85</definedName>
    <definedName name="_xlnm.Print_Titles" localSheetId="1">'SO01'!$109:$109</definedName>
    <definedName name="_xlnm.Print_Titles" localSheetId="3">'SO03'!$110:$110</definedName>
    <definedName name="_xlnm.Print_Titles" localSheetId="4">'SO04'!$108:$108</definedName>
    <definedName name="_xlnm.Print_Titles" localSheetId="6">'VN + ON'!$107:$107</definedName>
    <definedName name="_xlnm.Print_Area" localSheetId="5">'IO01'!$C$4:$Q$69,'IO01'!$C$75:$Q$92,'IO01'!$C$98:$Q$130</definedName>
    <definedName name="_xlnm.Print_Area" localSheetId="0">Rekapitulace!$C$4:$AP$70,Rekapitulace!$C$76:$AP$101</definedName>
    <definedName name="_xlnm.Print_Area" localSheetId="1">'SO01'!$C$4:$Q$69,'SO01'!$C$75:$Q$92,'SO01'!$C$98:$Q$159</definedName>
    <definedName name="_xlnm.Print_Area" localSheetId="2">'SO02'!$C$4:$Q$69,'SO02'!$C$75:$Q$92,'SO02'!$C$98:$Q$167</definedName>
    <definedName name="_xlnm.Print_Area" localSheetId="3">'SO03'!$C$4:$Q$69,'SO03'!$C$75:$Q$93,'SO03'!$C$99:$Q$139</definedName>
    <definedName name="_xlnm.Print_Area" localSheetId="4">'SO04'!$C$4:$Q$69,'SO04'!$C$75:$Q$91,'SO04'!$C$97:$Q$206</definedName>
    <definedName name="_xlnm.Print_Area" localSheetId="6">'VN + ON'!$C$4:$Q$69,'VN + ON'!$C$75:$Q$91,'VN + ON'!$C$97:$Q$133</definedName>
  </definedNames>
  <calcPr calcId="181029"/>
</workbook>
</file>

<file path=xl/calcChain.xml><?xml version="1.0" encoding="utf-8"?>
<calcChain xmlns="http://schemas.openxmlformats.org/spreadsheetml/2006/main">
  <c r="N130" i="10" l="1"/>
  <c r="N133" i="10"/>
  <c r="C133" i="10"/>
  <c r="N114" i="16"/>
  <c r="C117" i="17" l="1"/>
  <c r="C119" i="17" s="1"/>
  <c r="N121" i="17"/>
  <c r="N122" i="17"/>
  <c r="D89" i="20" l="1"/>
  <c r="N124" i="20"/>
  <c r="N119" i="20"/>
  <c r="N118" i="20" s="1"/>
  <c r="N123" i="20"/>
  <c r="N122" i="20"/>
  <c r="N117" i="20"/>
  <c r="N116" i="20" s="1"/>
  <c r="N113" i="20"/>
  <c r="N127" i="20"/>
  <c r="N136" i="16"/>
  <c r="N135" i="16" s="1"/>
  <c r="N129" i="16"/>
  <c r="N130" i="16"/>
  <c r="W123" i="16"/>
  <c r="Y123" i="16"/>
  <c r="AA123" i="16"/>
  <c r="N124" i="16"/>
  <c r="N125" i="16"/>
  <c r="N126" i="16"/>
  <c r="N127" i="16"/>
  <c r="N113" i="16"/>
  <c r="W113" i="16"/>
  <c r="Y113" i="16"/>
  <c r="AA113" i="16"/>
  <c r="C114" i="16"/>
  <c r="C115" i="16" s="1"/>
  <c r="C116" i="16" s="1"/>
  <c r="C117" i="16" s="1"/>
  <c r="C118" i="16" s="1"/>
  <c r="C119" i="16" s="1"/>
  <c r="C120" i="16" s="1"/>
  <c r="C121" i="16" s="1"/>
  <c r="C124" i="16" s="1"/>
  <c r="C125" i="16" s="1"/>
  <c r="C126" i="16" s="1"/>
  <c r="C127" i="16" s="1"/>
  <c r="C129" i="16" s="1"/>
  <c r="C130" i="16" s="1"/>
  <c r="W114" i="16"/>
  <c r="Y114" i="16"/>
  <c r="AA114" i="16"/>
  <c r="N115" i="16"/>
  <c r="W115" i="16"/>
  <c r="Y115" i="16"/>
  <c r="AA115" i="16"/>
  <c r="N116" i="16"/>
  <c r="W116" i="16"/>
  <c r="Y116" i="16"/>
  <c r="AA116" i="16"/>
  <c r="N117" i="16"/>
  <c r="W117" i="16"/>
  <c r="Y117" i="16"/>
  <c r="AA117" i="16"/>
  <c r="N118" i="16"/>
  <c r="W118" i="16"/>
  <c r="Y118" i="16"/>
  <c r="AA118" i="16"/>
  <c r="N119" i="16"/>
  <c r="W119" i="16"/>
  <c r="Y119" i="16"/>
  <c r="AA119" i="16"/>
  <c r="N120" i="16"/>
  <c r="N121" i="16"/>
  <c r="N162" i="16"/>
  <c r="N206" i="19"/>
  <c r="N205" i="19" s="1"/>
  <c r="N204" i="19"/>
  <c r="N203" i="19"/>
  <c r="N202" i="19"/>
  <c r="N201" i="19"/>
  <c r="N200" i="19"/>
  <c r="N199" i="19"/>
  <c r="N198" i="19"/>
  <c r="N197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8" i="19"/>
  <c r="N147" i="19"/>
  <c r="N146" i="19"/>
  <c r="N145" i="19"/>
  <c r="C145" i="19"/>
  <c r="C146" i="19" s="1"/>
  <c r="C147" i="19" s="1"/>
  <c r="C148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6" i="19" s="1"/>
  <c r="N143" i="19"/>
  <c r="N142" i="19"/>
  <c r="N141" i="19"/>
  <c r="N140" i="19"/>
  <c r="N139" i="19"/>
  <c r="N137" i="19"/>
  <c r="N136" i="19"/>
  <c r="N135" i="19"/>
  <c r="N134" i="19"/>
  <c r="N133" i="19"/>
  <c r="N132" i="19"/>
  <c r="N131" i="19"/>
  <c r="N130" i="19"/>
  <c r="N129" i="19"/>
  <c r="N128" i="19"/>
  <c r="N127" i="19"/>
  <c r="N126" i="19"/>
  <c r="N125" i="19"/>
  <c r="N124" i="19"/>
  <c r="N123" i="19"/>
  <c r="N122" i="19"/>
  <c r="N121" i="19"/>
  <c r="N120" i="19"/>
  <c r="N119" i="19"/>
  <c r="N118" i="19"/>
  <c r="N117" i="19"/>
  <c r="N116" i="19"/>
  <c r="N115" i="19"/>
  <c r="N114" i="19"/>
  <c r="N113" i="19"/>
  <c r="N112" i="19"/>
  <c r="N123" i="16" l="1"/>
  <c r="N128" i="16"/>
  <c r="N138" i="19"/>
  <c r="N149" i="19"/>
  <c r="N111" i="19"/>
  <c r="N144" i="19"/>
  <c r="AA112" i="16"/>
  <c r="AA111" i="16" s="1"/>
  <c r="Y112" i="16"/>
  <c r="Y111" i="16" s="1"/>
  <c r="N112" i="16"/>
  <c r="N111" i="16" s="1"/>
  <c r="W112" i="16"/>
  <c r="W111" i="16" s="1"/>
  <c r="N110" i="19" l="1"/>
  <c r="N109" i="19" s="1"/>
  <c r="N88" i="19" s="1"/>
  <c r="F8" i="20"/>
  <c r="F8" i="16"/>
  <c r="F8" i="17"/>
  <c r="F8" i="19"/>
  <c r="N115" i="20"/>
  <c r="N114" i="20"/>
  <c r="C114" i="20"/>
  <c r="C115" i="20" s="1"/>
  <c r="C117" i="20" s="1"/>
  <c r="C119" i="20" s="1"/>
  <c r="C122" i="20" s="1"/>
  <c r="N137" i="2"/>
  <c r="N136" i="2"/>
  <c r="N142" i="16"/>
  <c r="N112" i="20" l="1"/>
  <c r="N111" i="20" s="1"/>
  <c r="N117" i="2"/>
  <c r="D88" i="2"/>
  <c r="D89" i="17"/>
  <c r="F8" i="2"/>
  <c r="O15" i="19" l="1"/>
  <c r="O10" i="19"/>
  <c r="F7" i="2"/>
  <c r="F79" i="2" l="1"/>
  <c r="AN96" i="1" l="1"/>
  <c r="AN97" i="1"/>
  <c r="AN98" i="1"/>
  <c r="AN99" i="1"/>
  <c r="AN95" i="1"/>
  <c r="N148" i="16" l="1"/>
  <c r="N111" i="10" l="1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59" i="16" l="1"/>
  <c r="N158" i="16" s="1"/>
  <c r="N161" i="16"/>
  <c r="N160" i="16" s="1"/>
  <c r="N143" i="2"/>
  <c r="N154" i="2"/>
  <c r="N153" i="2" s="1"/>
  <c r="N157" i="2"/>
  <c r="N117" i="17" l="1"/>
  <c r="N134" i="16"/>
  <c r="N133" i="16"/>
  <c r="N132" i="16"/>
  <c r="N116" i="17" l="1"/>
  <c r="N131" i="16"/>
  <c r="O9" i="10" l="1"/>
  <c r="C112" i="10" l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31" i="10" s="1"/>
  <c r="C132" i="10" s="1"/>
  <c r="N145" i="2"/>
  <c r="N132" i="10" l="1"/>
  <c r="N131" i="10"/>
  <c r="N114" i="17" l="1"/>
  <c r="N130" i="20"/>
  <c r="N129" i="20"/>
  <c r="N125" i="20"/>
  <c r="N121" i="20" s="1"/>
  <c r="N156" i="2"/>
  <c r="N128" i="20" l="1"/>
  <c r="E16" i="19"/>
  <c r="O10" i="17"/>
  <c r="E16" i="16"/>
  <c r="O15" i="16"/>
  <c r="O16" i="2"/>
  <c r="O10" i="2"/>
  <c r="W124" i="10" l="1"/>
  <c r="Y124" i="10"/>
  <c r="AA124" i="10"/>
  <c r="BE124" i="10"/>
  <c r="BF124" i="10"/>
  <c r="BG124" i="10"/>
  <c r="BH124" i="10"/>
  <c r="BI124" i="10"/>
  <c r="BK124" i="10"/>
  <c r="N110" i="10" l="1"/>
  <c r="F7" i="20" l="1"/>
  <c r="F7" i="19"/>
  <c r="F7" i="17"/>
  <c r="F7" i="16"/>
  <c r="N130" i="17" l="1"/>
  <c r="N129" i="17"/>
  <c r="N119" i="17"/>
  <c r="N118" i="17" s="1"/>
  <c r="D88" i="16" l="1"/>
  <c r="N166" i="16"/>
  <c r="N155" i="16"/>
  <c r="N153" i="16"/>
  <c r="N145" i="16"/>
  <c r="N141" i="16"/>
  <c r="N167" i="16" l="1"/>
  <c r="N165" i="16"/>
  <c r="N164" i="16"/>
  <c r="N157" i="16"/>
  <c r="N156" i="16"/>
  <c r="N154" i="16"/>
  <c r="N152" i="16"/>
  <c r="N151" i="16"/>
  <c r="N150" i="16"/>
  <c r="N149" i="16"/>
  <c r="N144" i="16"/>
  <c r="N140" i="16"/>
  <c r="N139" i="16"/>
  <c r="N138" i="16"/>
  <c r="N163" i="16" l="1"/>
  <c r="N147" i="16"/>
  <c r="N137" i="16"/>
  <c r="H30" i="2"/>
  <c r="N143" i="16"/>
  <c r="AA110" i="16"/>
  <c r="M30" i="2"/>
  <c r="Y110" i="16"/>
  <c r="W110" i="16"/>
  <c r="N144" i="2"/>
  <c r="N134" i="2"/>
  <c r="N132" i="2"/>
  <c r="N131" i="2" s="1"/>
  <c r="N130" i="2"/>
  <c r="AA118" i="2"/>
  <c r="Y118" i="2"/>
  <c r="W118" i="2"/>
  <c r="N118" i="2"/>
  <c r="N146" i="16" l="1"/>
  <c r="N122" i="16"/>
  <c r="N88" i="16"/>
  <c r="N89" i="16"/>
  <c r="F102" i="20"/>
  <c r="D90" i="20"/>
  <c r="F79" i="20"/>
  <c r="O22" i="20"/>
  <c r="E22" i="20"/>
  <c r="M84" i="20" s="1"/>
  <c r="O21" i="20"/>
  <c r="O19" i="20"/>
  <c r="E19" i="20"/>
  <c r="M106" i="20" s="1"/>
  <c r="O18" i="20"/>
  <c r="O16" i="20"/>
  <c r="E16" i="20"/>
  <c r="F107" i="20" s="1"/>
  <c r="O15" i="20"/>
  <c r="O13" i="20"/>
  <c r="E13" i="20"/>
  <c r="F106" i="20" s="1"/>
  <c r="O12" i="20"/>
  <c r="O10" i="20"/>
  <c r="M104" i="20" s="1"/>
  <c r="F101" i="20"/>
  <c r="F6" i="20"/>
  <c r="F77" i="20" s="1"/>
  <c r="BK123" i="19"/>
  <c r="AA123" i="19"/>
  <c r="Y123" i="19"/>
  <c r="W123" i="19"/>
  <c r="BK119" i="19"/>
  <c r="BI119" i="19"/>
  <c r="BH119" i="19"/>
  <c r="BG119" i="19"/>
  <c r="BF119" i="19"/>
  <c r="AA119" i="19"/>
  <c r="Y119" i="19"/>
  <c r="W119" i="19"/>
  <c r="BE118" i="19"/>
  <c r="BK118" i="19"/>
  <c r="BI118" i="19"/>
  <c r="BH118" i="19"/>
  <c r="BG118" i="19"/>
  <c r="BF118" i="19"/>
  <c r="AA118" i="19"/>
  <c r="Y118" i="19"/>
  <c r="W118" i="19"/>
  <c r="BK115" i="19"/>
  <c r="BI115" i="19"/>
  <c r="BH115" i="19"/>
  <c r="BG115" i="19"/>
  <c r="BF115" i="19"/>
  <c r="AA115" i="19"/>
  <c r="Y115" i="19"/>
  <c r="W115" i="19"/>
  <c r="BE115" i="19"/>
  <c r="BK114" i="19"/>
  <c r="BI114" i="19"/>
  <c r="BH114" i="19"/>
  <c r="BG114" i="19"/>
  <c r="BF114" i="19"/>
  <c r="AA114" i="19"/>
  <c r="Y114" i="19"/>
  <c r="W114" i="19"/>
  <c r="BE114" i="19"/>
  <c r="BK113" i="19"/>
  <c r="BI113" i="19"/>
  <c r="BH113" i="19"/>
  <c r="BG113" i="19"/>
  <c r="BF113" i="19"/>
  <c r="AA113" i="19"/>
  <c r="Y113" i="19"/>
  <c r="W113" i="19"/>
  <c r="BE113" i="19"/>
  <c r="BK112" i="19"/>
  <c r="BI112" i="19"/>
  <c r="BH112" i="19"/>
  <c r="BG112" i="19"/>
  <c r="BF112" i="19"/>
  <c r="AA112" i="19"/>
  <c r="Y112" i="19"/>
  <c r="W112" i="19"/>
  <c r="BE112" i="19"/>
  <c r="F101" i="19"/>
  <c r="D89" i="19"/>
  <c r="F79" i="19"/>
  <c r="O22" i="19"/>
  <c r="E22" i="19"/>
  <c r="M106" i="19" s="1"/>
  <c r="O21" i="19"/>
  <c r="O19" i="19"/>
  <c r="E19" i="19"/>
  <c r="M105" i="19" s="1"/>
  <c r="O18" i="19"/>
  <c r="O16" i="19"/>
  <c r="F106" i="19"/>
  <c r="O13" i="19"/>
  <c r="E13" i="19"/>
  <c r="F105" i="19" s="1"/>
  <c r="O12" i="19"/>
  <c r="M103" i="19"/>
  <c r="F78" i="19"/>
  <c r="F6" i="19"/>
  <c r="F77" i="19" s="1"/>
  <c r="N139" i="17"/>
  <c r="N138" i="17"/>
  <c r="N136" i="17"/>
  <c r="N134" i="17"/>
  <c r="N133" i="17"/>
  <c r="N132" i="17"/>
  <c r="N131" i="17"/>
  <c r="N128" i="17"/>
  <c r="N125" i="17"/>
  <c r="N123" i="17"/>
  <c r="AA114" i="17"/>
  <c r="Y114" i="17"/>
  <c r="W114" i="17"/>
  <c r="F103" i="17"/>
  <c r="D91" i="17"/>
  <c r="F79" i="17"/>
  <c r="O22" i="17"/>
  <c r="E22" i="17"/>
  <c r="M108" i="17" s="1"/>
  <c r="O21" i="17"/>
  <c r="O19" i="17"/>
  <c r="E19" i="17"/>
  <c r="M107" i="17" s="1"/>
  <c r="O18" i="17"/>
  <c r="O16" i="17"/>
  <c r="E16" i="17"/>
  <c r="F108" i="17" s="1"/>
  <c r="O15" i="17"/>
  <c r="O13" i="17"/>
  <c r="E13" i="17"/>
  <c r="F107" i="17" s="1"/>
  <c r="O12" i="17"/>
  <c r="M105" i="17"/>
  <c r="F78" i="17"/>
  <c r="F6" i="17"/>
  <c r="F77" i="17" s="1"/>
  <c r="H33" i="16"/>
  <c r="F102" i="16"/>
  <c r="F79" i="16"/>
  <c r="O22" i="16"/>
  <c r="E22" i="16"/>
  <c r="M107" i="16" s="1"/>
  <c r="O21" i="16"/>
  <c r="O19" i="16"/>
  <c r="E19" i="16"/>
  <c r="M106" i="16" s="1"/>
  <c r="O18" i="16"/>
  <c r="O16" i="16"/>
  <c r="F107" i="16"/>
  <c r="O13" i="16"/>
  <c r="E13" i="16"/>
  <c r="F106" i="16" s="1"/>
  <c r="O12" i="16"/>
  <c r="O10" i="16"/>
  <c r="M104" i="16" s="1"/>
  <c r="F101" i="16"/>
  <c r="F6" i="16"/>
  <c r="F100" i="16" s="1"/>
  <c r="N90" i="16" l="1"/>
  <c r="L92" i="16" s="1"/>
  <c r="N110" i="16"/>
  <c r="N87" i="16" s="1"/>
  <c r="C132" i="16"/>
  <c r="N126" i="20"/>
  <c r="N120" i="20" s="1"/>
  <c r="N110" i="20" s="1"/>
  <c r="N88" i="20" s="1"/>
  <c r="M107" i="20"/>
  <c r="AA110" i="20"/>
  <c r="H33" i="20"/>
  <c r="F100" i="20"/>
  <c r="BK110" i="20"/>
  <c r="F78" i="20"/>
  <c r="Y110" i="20"/>
  <c r="W110" i="20"/>
  <c r="F99" i="19"/>
  <c r="BK111" i="19"/>
  <c r="BK110" i="19" s="1"/>
  <c r="BK109" i="19" s="1"/>
  <c r="M84" i="19"/>
  <c r="F100" i="19"/>
  <c r="AA111" i="19"/>
  <c r="AA110" i="19" s="1"/>
  <c r="AA109" i="19" s="1"/>
  <c r="H33" i="19"/>
  <c r="BE119" i="19"/>
  <c r="W111" i="19"/>
  <c r="W110" i="19" s="1"/>
  <c r="W109" i="19" s="1"/>
  <c r="Y111" i="19"/>
  <c r="Y110" i="19" s="1"/>
  <c r="Y109" i="19" s="1"/>
  <c r="N124" i="17"/>
  <c r="N135" i="17"/>
  <c r="M84" i="17"/>
  <c r="F102" i="17"/>
  <c r="N120" i="17"/>
  <c r="F101" i="17"/>
  <c r="N127" i="17"/>
  <c r="N137" i="17"/>
  <c r="W113" i="17"/>
  <c r="W112" i="17" s="1"/>
  <c r="W111" i="17" s="1"/>
  <c r="AA113" i="17"/>
  <c r="AA112" i="17" s="1"/>
  <c r="AA111" i="17" s="1"/>
  <c r="H33" i="17"/>
  <c r="Y113" i="17"/>
  <c r="Y112" i="17" s="1"/>
  <c r="Y111" i="17" s="1"/>
  <c r="H31" i="17"/>
  <c r="F77" i="16"/>
  <c r="F84" i="16"/>
  <c r="F78" i="16"/>
  <c r="M84" i="16"/>
  <c r="F83" i="16"/>
  <c r="H32" i="17"/>
  <c r="H31" i="19"/>
  <c r="H31" i="20"/>
  <c r="H32" i="20"/>
  <c r="H32" i="19"/>
  <c r="H30" i="19"/>
  <c r="H31" i="16"/>
  <c r="H32" i="16"/>
  <c r="M81" i="20"/>
  <c r="F83" i="20"/>
  <c r="M83" i="20"/>
  <c r="F84" i="20"/>
  <c r="M30" i="19"/>
  <c r="F83" i="19"/>
  <c r="M81" i="19"/>
  <c r="M83" i="19"/>
  <c r="F84" i="19"/>
  <c r="N113" i="17"/>
  <c r="N112" i="17" s="1"/>
  <c r="M81" i="17"/>
  <c r="F83" i="17"/>
  <c r="M83" i="17"/>
  <c r="F84" i="17"/>
  <c r="M83" i="16"/>
  <c r="M81" i="16"/>
  <c r="N126" i="17" l="1"/>
  <c r="N111" i="17" s="1"/>
  <c r="N115" i="17"/>
  <c r="C121" i="17"/>
  <c r="C122" i="17" s="1"/>
  <c r="N89" i="20"/>
  <c r="N90" i="17"/>
  <c r="C133" i="16"/>
  <c r="C134" i="16" s="1"/>
  <c r="N90" i="20"/>
  <c r="N89" i="19"/>
  <c r="L91" i="19" s="1"/>
  <c r="N89" i="17"/>
  <c r="N150" i="2"/>
  <c r="N152" i="2"/>
  <c r="N151" i="2" s="1"/>
  <c r="N158" i="2"/>
  <c r="N159" i="2"/>
  <c r="N129" i="2"/>
  <c r="N128" i="2" s="1"/>
  <c r="N126" i="2"/>
  <c r="N125" i="2"/>
  <c r="N127" i="2"/>
  <c r="N124" i="2"/>
  <c r="N114" i="2"/>
  <c r="N115" i="2"/>
  <c r="N116" i="2"/>
  <c r="N119" i="2"/>
  <c r="N120" i="2"/>
  <c r="N121" i="2"/>
  <c r="N113" i="2"/>
  <c r="L80" i="1"/>
  <c r="N91" i="17" l="1"/>
  <c r="L93" i="17" s="1"/>
  <c r="N155" i="2"/>
  <c r="N123" i="2"/>
  <c r="N112" i="2"/>
  <c r="N111" i="2" s="1"/>
  <c r="C123" i="17"/>
  <c r="C125" i="17" s="1"/>
  <c r="L92" i="20"/>
  <c r="C136" i="16"/>
  <c r="C138" i="16" s="1"/>
  <c r="C139" i="16" s="1"/>
  <c r="C140" i="16" s="1"/>
  <c r="C141" i="16" s="1"/>
  <c r="C142" i="16" s="1"/>
  <c r="C144" i="16" s="1"/>
  <c r="C145" i="16" s="1"/>
  <c r="C148" i="16" s="1"/>
  <c r="N88" i="17"/>
  <c r="M25" i="17" s="1"/>
  <c r="M27" i="17" s="1"/>
  <c r="AL90" i="1" s="1"/>
  <c r="M25" i="20"/>
  <c r="M27" i="20" s="1"/>
  <c r="AL92" i="1" s="1"/>
  <c r="C123" i="20"/>
  <c r="F10" i="16"/>
  <c r="F10" i="19"/>
  <c r="F10" i="20"/>
  <c r="F10" i="17"/>
  <c r="M25" i="16"/>
  <c r="M27" i="16" s="1"/>
  <c r="AA119" i="2"/>
  <c r="Y119" i="2"/>
  <c r="W119" i="2"/>
  <c r="C114" i="2"/>
  <c r="C115" i="2" s="1"/>
  <c r="C117" i="2" s="1"/>
  <c r="N146" i="2"/>
  <c r="N139" i="2"/>
  <c r="N140" i="2"/>
  <c r="N135" i="2"/>
  <c r="N133" i="2" s="1"/>
  <c r="D90" i="2"/>
  <c r="F7" i="10"/>
  <c r="F100" i="10" s="1"/>
  <c r="N149" i="2"/>
  <c r="F102" i="2"/>
  <c r="F78" i="2"/>
  <c r="F9" i="10"/>
  <c r="F102" i="10" s="1"/>
  <c r="AG94" i="1"/>
  <c r="AK24" i="1" s="1"/>
  <c r="AM80" i="1"/>
  <c r="N147" i="2"/>
  <c r="N148" i="2"/>
  <c r="M104" i="2"/>
  <c r="F6" i="2"/>
  <c r="F100" i="2" s="1"/>
  <c r="O12" i="2"/>
  <c r="E13" i="2"/>
  <c r="F106" i="2" s="1"/>
  <c r="O13" i="2"/>
  <c r="O15" i="2"/>
  <c r="E16" i="2"/>
  <c r="F84" i="2" s="1"/>
  <c r="O18" i="2"/>
  <c r="E19" i="2"/>
  <c r="M106" i="2" s="1"/>
  <c r="O19" i="2"/>
  <c r="O21" i="2"/>
  <c r="E22" i="2"/>
  <c r="M84" i="2" s="1"/>
  <c r="O22" i="2"/>
  <c r="W113" i="2"/>
  <c r="Y113" i="2"/>
  <c r="AA113" i="2"/>
  <c r="W114" i="2"/>
  <c r="Y114" i="2"/>
  <c r="AA114" i="2"/>
  <c r="W115" i="2"/>
  <c r="Y115" i="2"/>
  <c r="AA115" i="2"/>
  <c r="W116" i="2"/>
  <c r="Y116" i="2"/>
  <c r="AA116" i="2"/>
  <c r="W123" i="2"/>
  <c r="Y123" i="2"/>
  <c r="AA123" i="2"/>
  <c r="BR90" i="1"/>
  <c r="F6" i="10"/>
  <c r="F77" i="10" s="1"/>
  <c r="M102" i="10"/>
  <c r="O11" i="10"/>
  <c r="E12" i="10"/>
  <c r="F104" i="10" s="1"/>
  <c r="O12" i="10"/>
  <c r="O14" i="10"/>
  <c r="E15" i="10"/>
  <c r="F83" i="10" s="1"/>
  <c r="O15" i="10"/>
  <c r="O17" i="10"/>
  <c r="E18" i="10"/>
  <c r="M82" i="10" s="1"/>
  <c r="O18" i="10"/>
  <c r="O20" i="10"/>
  <c r="E21" i="10"/>
  <c r="M105" i="10" s="1"/>
  <c r="O21" i="10"/>
  <c r="BE111" i="10"/>
  <c r="W111" i="10"/>
  <c r="Y111" i="10"/>
  <c r="AA111" i="10"/>
  <c r="BF111" i="10"/>
  <c r="BG111" i="10"/>
  <c r="BH111" i="10"/>
  <c r="BI111" i="10"/>
  <c r="BK111" i="10"/>
  <c r="BE112" i="10"/>
  <c r="W112" i="10"/>
  <c r="Y112" i="10"/>
  <c r="AA112" i="10"/>
  <c r="BF112" i="10"/>
  <c r="BG112" i="10"/>
  <c r="BH112" i="10"/>
  <c r="BI112" i="10"/>
  <c r="BK112" i="10"/>
  <c r="BE113" i="10"/>
  <c r="W113" i="10"/>
  <c r="Y113" i="10"/>
  <c r="AA113" i="10"/>
  <c r="BF113" i="10"/>
  <c r="BG113" i="10"/>
  <c r="BH113" i="10"/>
  <c r="BI113" i="10"/>
  <c r="BK113" i="10"/>
  <c r="BE114" i="10"/>
  <c r="W114" i="10"/>
  <c r="Y114" i="10"/>
  <c r="AA114" i="10"/>
  <c r="BF114" i="10"/>
  <c r="BG114" i="10"/>
  <c r="BH114" i="10"/>
  <c r="BI114" i="10"/>
  <c r="BK114" i="10"/>
  <c r="BE116" i="10"/>
  <c r="W116" i="10"/>
  <c r="Y116" i="10"/>
  <c r="AA116" i="10"/>
  <c r="BF116" i="10"/>
  <c r="BG116" i="10"/>
  <c r="BH116" i="10"/>
  <c r="BI116" i="10"/>
  <c r="BK116" i="10"/>
  <c r="BE117" i="10"/>
  <c r="W117" i="10"/>
  <c r="Y117" i="10"/>
  <c r="AA117" i="10"/>
  <c r="BF117" i="10"/>
  <c r="BG117" i="10"/>
  <c r="BH117" i="10"/>
  <c r="BI117" i="10"/>
  <c r="BK117" i="10"/>
  <c r="W118" i="10"/>
  <c r="Y118" i="10"/>
  <c r="AA118" i="10"/>
  <c r="BF118" i="10"/>
  <c r="BG118" i="10"/>
  <c r="BH118" i="10"/>
  <c r="BI118" i="10"/>
  <c r="BK118" i="10"/>
  <c r="BE126" i="10"/>
  <c r="W126" i="10"/>
  <c r="Y126" i="10"/>
  <c r="AA126" i="10"/>
  <c r="BF126" i="10"/>
  <c r="BG126" i="10"/>
  <c r="BH126" i="10"/>
  <c r="BI126" i="10"/>
  <c r="BK126" i="10"/>
  <c r="L77" i="1"/>
  <c r="L78" i="1"/>
  <c r="L82" i="1"/>
  <c r="AM82" i="1"/>
  <c r="L83" i="1"/>
  <c r="AM83" i="1"/>
  <c r="BM89" i="1"/>
  <c r="BN89" i="1"/>
  <c r="BM90" i="1"/>
  <c r="BN90" i="1"/>
  <c r="BM95" i="1"/>
  <c r="BN95" i="1"/>
  <c r="BZ100" i="1"/>
  <c r="CE100" i="1"/>
  <c r="CF100" i="1"/>
  <c r="CG100" i="1"/>
  <c r="CH100" i="1"/>
  <c r="CI100" i="1"/>
  <c r="CJ100" i="1"/>
  <c r="CK100" i="1"/>
  <c r="BZ101" i="1"/>
  <c r="CA101" i="1"/>
  <c r="CB101" i="1"/>
  <c r="CC101" i="1"/>
  <c r="CE101" i="1"/>
  <c r="CF101" i="1"/>
  <c r="CG101" i="1"/>
  <c r="CH101" i="1"/>
  <c r="CI101" i="1"/>
  <c r="CJ101" i="1"/>
  <c r="CK101" i="1"/>
  <c r="BZ102" i="1"/>
  <c r="CA102" i="1"/>
  <c r="CB102" i="1"/>
  <c r="CC102" i="1"/>
  <c r="CE102" i="1"/>
  <c r="CF102" i="1"/>
  <c r="CG102" i="1"/>
  <c r="CH102" i="1"/>
  <c r="CI102" i="1"/>
  <c r="CJ102" i="1"/>
  <c r="CK102" i="1"/>
  <c r="BZ103" i="1"/>
  <c r="CA103" i="1"/>
  <c r="CB103" i="1"/>
  <c r="CC103" i="1"/>
  <c r="CE103" i="1"/>
  <c r="CF103" i="1"/>
  <c r="CG103" i="1"/>
  <c r="CH103" i="1"/>
  <c r="CI103" i="1"/>
  <c r="CJ103" i="1"/>
  <c r="CK103" i="1"/>
  <c r="CD100" i="1"/>
  <c r="BK100" i="1"/>
  <c r="BY100" i="1" s="1"/>
  <c r="BK101" i="1"/>
  <c r="BY101" i="1" s="1"/>
  <c r="CD101" i="1"/>
  <c r="BJ90" i="1"/>
  <c r="BQ90" i="1"/>
  <c r="BH95" i="1"/>
  <c r="BL90" i="1"/>
  <c r="BP90" i="1"/>
  <c r="BK90" i="1"/>
  <c r="BI90" i="1" s="1"/>
  <c r="BO90" i="1"/>
  <c r="BH90" i="1"/>
  <c r="BK103" i="1"/>
  <c r="BY103" i="1" s="1"/>
  <c r="CD103" i="1"/>
  <c r="BK102" i="1"/>
  <c r="BY102" i="1" s="1"/>
  <c r="CD102" i="1"/>
  <c r="BP95" i="1"/>
  <c r="BL95" i="1"/>
  <c r="BH89" i="1"/>
  <c r="BH88" i="1" s="1"/>
  <c r="N138" i="2" l="1"/>
  <c r="N122" i="2" s="1"/>
  <c r="C128" i="17"/>
  <c r="C129" i="17" s="1"/>
  <c r="C130" i="17" s="1"/>
  <c r="C131" i="17" s="1"/>
  <c r="C132" i="17" s="1"/>
  <c r="C133" i="17" s="1"/>
  <c r="N142" i="2"/>
  <c r="C124" i="20"/>
  <c r="C125" i="20" s="1"/>
  <c r="C127" i="20" s="1"/>
  <c r="BH87" i="1"/>
  <c r="F105" i="17"/>
  <c r="F81" i="17"/>
  <c r="Y110" i="10"/>
  <c r="Y109" i="10" s="1"/>
  <c r="Y108" i="10" s="1"/>
  <c r="F81" i="19"/>
  <c r="F103" i="19"/>
  <c r="N129" i="10"/>
  <c r="N89" i="10" s="1"/>
  <c r="F104" i="16"/>
  <c r="F81" i="16"/>
  <c r="W110" i="10"/>
  <c r="W109" i="10" s="1"/>
  <c r="W108" i="10" s="1"/>
  <c r="BJ95" i="1" s="1"/>
  <c r="AA110" i="10"/>
  <c r="AA109" i="10" s="1"/>
  <c r="AA108" i="10" s="1"/>
  <c r="F104" i="20"/>
  <c r="F81" i="20"/>
  <c r="M80" i="10"/>
  <c r="M25" i="19"/>
  <c r="M27" i="19" s="1"/>
  <c r="AL91" i="1" s="1"/>
  <c r="AL89" i="1"/>
  <c r="C116" i="2"/>
  <c r="H29" i="20"/>
  <c r="M29" i="20" s="1"/>
  <c r="L35" i="20" s="1"/>
  <c r="AN92" i="1" s="1"/>
  <c r="H29" i="17"/>
  <c r="M29" i="17" s="1"/>
  <c r="L35" i="17" s="1"/>
  <c r="AN90" i="1" s="1"/>
  <c r="H29" i="16"/>
  <c r="M29" i="16" s="1"/>
  <c r="L35" i="16" s="1"/>
  <c r="F83" i="2"/>
  <c r="F105" i="10"/>
  <c r="F78" i="10"/>
  <c r="H30" i="10"/>
  <c r="BQ95" i="1" s="1"/>
  <c r="BE118" i="10"/>
  <c r="N109" i="10"/>
  <c r="N88" i="10" s="1"/>
  <c r="H31" i="10"/>
  <c r="BR95" i="1" s="1"/>
  <c r="H32" i="10"/>
  <c r="BS95" i="1" s="1"/>
  <c r="BK110" i="10"/>
  <c r="BK109" i="10" s="1"/>
  <c r="BK108" i="10" s="1"/>
  <c r="M83" i="10"/>
  <c r="F82" i="10"/>
  <c r="M107" i="2"/>
  <c r="F80" i="10"/>
  <c r="M81" i="2"/>
  <c r="F99" i="10"/>
  <c r="F77" i="2"/>
  <c r="M104" i="10"/>
  <c r="AN94" i="1"/>
  <c r="F101" i="2"/>
  <c r="AA112" i="2"/>
  <c r="AA111" i="2" s="1"/>
  <c r="AA110" i="2" s="1"/>
  <c r="H32" i="2"/>
  <c r="BR89" i="1" s="1"/>
  <c r="BR88" i="1" s="1"/>
  <c r="BN88" i="1" s="1"/>
  <c r="Y112" i="2"/>
  <c r="Y111" i="2" s="1"/>
  <c r="Y110" i="2" s="1"/>
  <c r="W112" i="2"/>
  <c r="W111" i="2" s="1"/>
  <c r="W110" i="2" s="1"/>
  <c r="BJ89" i="1" s="1"/>
  <c r="BJ88" i="1" s="1"/>
  <c r="H33" i="2"/>
  <c r="BS89" i="1" s="1"/>
  <c r="BS88" i="1" s="1"/>
  <c r="H31" i="2"/>
  <c r="BQ89" i="1" s="1"/>
  <c r="BQ88" i="1" s="1"/>
  <c r="BM88" i="1" s="1"/>
  <c r="BP89" i="1"/>
  <c r="BP88" i="1" s="1"/>
  <c r="BP87" i="1" s="1"/>
  <c r="BL87" i="1" s="1"/>
  <c r="M83" i="2"/>
  <c r="F107" i="2"/>
  <c r="F10" i="2"/>
  <c r="BL89" i="1"/>
  <c r="N141" i="2" l="1"/>
  <c r="C149" i="16"/>
  <c r="C150" i="16" s="1"/>
  <c r="C151" i="16" s="1"/>
  <c r="C152" i="16" s="1"/>
  <c r="C153" i="16" s="1"/>
  <c r="N87" i="10"/>
  <c r="L91" i="10" s="1"/>
  <c r="BJ87" i="1"/>
  <c r="H29" i="19"/>
  <c r="M29" i="19" s="1"/>
  <c r="L35" i="19" s="1"/>
  <c r="AN91" i="1" s="1"/>
  <c r="AN89" i="1"/>
  <c r="C118" i="2"/>
  <c r="C119" i="2" s="1"/>
  <c r="C120" i="2" s="1"/>
  <c r="C121" i="2" s="1"/>
  <c r="C124" i="2" s="1"/>
  <c r="C125" i="2" s="1"/>
  <c r="C126" i="2" s="1"/>
  <c r="C127" i="2" s="1"/>
  <c r="C129" i="2" s="1"/>
  <c r="C130" i="2" s="1"/>
  <c r="BS87" i="1"/>
  <c r="W32" i="1" s="1"/>
  <c r="N108" i="10"/>
  <c r="BR87" i="1"/>
  <c r="W31" i="1" s="1"/>
  <c r="BL88" i="1"/>
  <c r="BQ87" i="1"/>
  <c r="BM87" i="1" s="1"/>
  <c r="F81" i="2"/>
  <c r="F104" i="2"/>
  <c r="N88" i="2"/>
  <c r="C132" i="2" l="1"/>
  <c r="C134" i="2" s="1"/>
  <c r="C135" i="2" s="1"/>
  <c r="C136" i="2" s="1"/>
  <c r="C137" i="2" s="1"/>
  <c r="C139" i="2" s="1"/>
  <c r="C140" i="2" s="1"/>
  <c r="C143" i="2" s="1"/>
  <c r="C144" i="2" s="1"/>
  <c r="C145" i="2" s="1"/>
  <c r="C146" i="2" s="1"/>
  <c r="N110" i="2"/>
  <c r="N87" i="2" s="1"/>
  <c r="C129" i="20"/>
  <c r="C130" i="20" s="1"/>
  <c r="C134" i="17"/>
  <c r="C136" i="17" s="1"/>
  <c r="C138" i="17" s="1"/>
  <c r="C139" i="17" s="1"/>
  <c r="C154" i="16"/>
  <c r="C155" i="16" s="1"/>
  <c r="C156" i="16" s="1"/>
  <c r="C157" i="16" s="1"/>
  <c r="C159" i="16" s="1"/>
  <c r="C161" i="16" s="1"/>
  <c r="C162" i="16" s="1"/>
  <c r="C164" i="16" s="1"/>
  <c r="M24" i="10"/>
  <c r="M26" i="10" s="1"/>
  <c r="H28" i="10" s="1"/>
  <c r="N90" i="2"/>
  <c r="N89" i="2"/>
  <c r="W30" i="1"/>
  <c r="BN87" i="1"/>
  <c r="C147" i="2" l="1"/>
  <c r="C148" i="2" s="1"/>
  <c r="C149" i="2" s="1"/>
  <c r="C150" i="2" s="1"/>
  <c r="C152" i="2" s="1"/>
  <c r="C154" i="2" s="1"/>
  <c r="C156" i="2" s="1"/>
  <c r="L92" i="2"/>
  <c r="AL93" i="1"/>
  <c r="M25" i="2"/>
  <c r="M27" i="2" s="1"/>
  <c r="BO95" i="1"/>
  <c r="M28" i="10"/>
  <c r="C157" i="2" l="1"/>
  <c r="C158" i="2" s="1"/>
  <c r="C159" i="2" s="1"/>
  <c r="AL88" i="1"/>
  <c r="AG87" i="1" s="1"/>
  <c r="AG101" i="1" s="1"/>
  <c r="H29" i="2"/>
  <c r="M29" i="2" s="1"/>
  <c r="L35" i="2" s="1"/>
  <c r="BK95" i="1"/>
  <c r="BI95" i="1" s="1"/>
  <c r="L34" i="10"/>
  <c r="AN93" i="1" s="1"/>
  <c r="C165" i="16" l="1"/>
  <c r="C166" i="16" s="1"/>
  <c r="C167" i="16" s="1"/>
  <c r="AK23" i="1"/>
  <c r="AK26" i="1" s="1"/>
  <c r="W28" i="1" s="1"/>
  <c r="BO89" i="1"/>
  <c r="BO88" i="1" s="1"/>
  <c r="BK88" i="1" s="1"/>
  <c r="BI88" i="1" s="1"/>
  <c r="BK89" i="1"/>
  <c r="BI89" i="1" s="1"/>
  <c r="AN88" i="1"/>
  <c r="AN87" i="1" s="1"/>
  <c r="AN101" i="1" l="1"/>
  <c r="BO87" i="1"/>
  <c r="BK87" i="1" s="1"/>
  <c r="BI87" i="1" s="1"/>
  <c r="AK28" i="1"/>
  <c r="AK34" i="1" s="1"/>
</calcChain>
</file>

<file path=xl/sharedStrings.xml><?xml version="1.0" encoding="utf-8"?>
<sst xmlns="http://schemas.openxmlformats.org/spreadsheetml/2006/main" count="1713" uniqueCount="381">
  <si>
    <t>List obsahuje:</t>
  </si>
  <si>
    <t>2.0</t>
  </si>
  <si>
    <t>False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</si>
  <si>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</si>
  <si>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</si>
  <si>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</si>
  <si>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</si>
  <si>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</si>
  <si>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</si>
  <si>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</si>
  <si>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</si>
  <si>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</si>
  <si>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</si>
  <si>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</si>
  <si>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</si>
  <si>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</si>
  <si>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</si>
  <si>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</si>
  <si>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</si>
  <si>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</si>
  <si>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</si>
  <si>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Vyplň údaj</t>
  </si>
  <si>
    <t>Projektant: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</si>
  <si>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</si>
  <si>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</si>
  <si>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</si>
  <si>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</si>
  <si>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</si>
  <si>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</si>
  <si>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</si>
  <si>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</si>
  <si>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</si>
  <si>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</si>
  <si>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</si>
  <si>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</si>
  <si>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</si>
  <si>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</si>
  <si>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</si>
  <si>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</si>
  <si>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</si>
  <si>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</si>
  <si>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</si>
  <si>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</si>
  <si>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</si>
  <si>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</si>
  <si>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</si>
  <si>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</si>
  <si>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</si>
  <si>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</si>
  <si>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</si>
  <si>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</si>
  <si>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</si>
  <si>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</si>
  <si>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</si>
  <si>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</si>
  <si>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</si>
  <si>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</si>
  <si>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</si>
  <si>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</si>
  <si>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</si>
  <si>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</si>
  <si>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</si>
  <si>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</si>
  <si>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</si>
  <si>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</si>
  <si>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</si>
  <si>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{7D104CFD-74AE-4B21-8F06-FCE96FACD716}</t>
  </si>
  <si>
    <t>{00000000-0000-0000-0000-000000000000}</t>
  </si>
  <si>
    <t>1</t>
  </si>
  <si>
    <t>{9EE7D76B-F59E-4B7D-8679-C39E1EEACB65}</t>
  </si>
  <si>
    <t>2</t>
  </si>
  <si>
    <t>{0924F017-547D-4BC9-963C-F88F650161AC}</t>
  </si>
  <si>
    <t>{453C5863-F3AD-4C96-96AB-6B476CE8FCDB}</t>
  </si>
  <si>
    <t>Procent. zadání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</si>
  <si>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</si>
  <si>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</si>
  <si>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</si>
  <si>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</si>
  <si>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</si>
  <si>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</si>
  <si>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</si>
  <si>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KRYCÍ LIST ROZPOČTU</t>
  </si>
  <si>
    <t>Objekt:</t>
  </si>
  <si>
    <t>Část: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</si>
  <si>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</si>
  <si>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</si>
  <si>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</si>
  <si>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</si>
  <si>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</si>
  <si>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</si>
  <si>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</si>
  <si>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</si>
  <si>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</si>
  <si>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</si>
  <si>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</si>
  <si>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</si>
  <si>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</si>
  <si>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</si>
  <si>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</si>
  <si>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</si>
  <si>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</si>
  <si>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</si>
  <si>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</si>
  <si>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</si>
  <si>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</si>
  <si>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</si>
  <si>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</si>
  <si>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m</t>
  </si>
  <si>
    <t>16</t>
  </si>
  <si>
    <t>kpl</t>
  </si>
  <si>
    <t>4</t>
  </si>
  <si>
    <t>512</t>
  </si>
  <si>
    <t>ks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</si>
  <si>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</si>
  <si>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</si>
  <si>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</si>
  <si>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</si>
  <si>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</si>
  <si>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</si>
  <si>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</si>
  <si>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Zapojení fotovoltaického panelu</t>
  </si>
  <si>
    <t>Konstrukce fotovoltaických panelů</t>
  </si>
  <si>
    <t>Hlavní ochranná přípojnice (HOP)</t>
  </si>
  <si>
    <t>Osazení a zapojení střídače</t>
  </si>
  <si>
    <t>Úprava bleskosvodu</t>
  </si>
  <si>
    <t>Vázací pásky VPC 5/280, černé, UV odolné</t>
  </si>
  <si>
    <t>Příchytka OBO 822/10</t>
  </si>
  <si>
    <t>Elektromateriál, rozvaděče</t>
  </si>
  <si>
    <t>02 - Rozvaděče</t>
  </si>
  <si>
    <t>01 - Solární kabely</t>
  </si>
  <si>
    <t>01 - Ukončení vodičů, soubory pro kabely</t>
  </si>
  <si>
    <t>02 - Datová komunikace</t>
  </si>
  <si>
    <t>02</t>
  </si>
  <si>
    <t>03</t>
  </si>
  <si>
    <t>04</t>
  </si>
  <si>
    <t>Kabel CYKY-m 750 V 5 x 10 mm2 volně uložený</t>
  </si>
  <si>
    <t>04 - Žlab kabelový</t>
  </si>
  <si>
    <t>Žlab 50/50 mm, drátěný</t>
  </si>
  <si>
    <t>Žlab 100/100 mm, drátěný</t>
  </si>
  <si>
    <t>hod</t>
  </si>
  <si>
    <t>Ukončení kabelů do 5x10 mm²</t>
  </si>
  <si>
    <t>Celkové náklady za stavbu 1)</t>
  </si>
  <si>
    <t>2) Ostatní náklady neuvedené v položkách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</si>
  <si>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 neuvedené v položkách
2) na vybraných listech vyplňte v sestavě
    a) Krycí list
       - údaje o Zhotoviteli, pokud se liší od údajů o Zhotoviteli na Souhrnném listu
         (údaje se přenesou do ostatních sestav v daném listu)
    b) Celkové náklady za stavbu
       - ceny u položek jsou uvedeny včetně prací
       - množství, pokud má žluté podbarvení
       - a v případe potřeby poznámku (ta je v skrytém sloupci)</t>
  </si>
  <si>
    <t>Ostatní materiál</t>
  </si>
  <si>
    <t>Fotovoltaický panel 310 Wp, 999x1665x40mm, včetně montáže</t>
  </si>
  <si>
    <t>Střídač, 25 kW</t>
  </si>
  <si>
    <t xml:space="preserve">Rozvaděč RAC (nástěnný), 840x1005x360, IP66 </t>
  </si>
  <si>
    <t xml:space="preserve">3f jistič nastavitelný, 180A, s vypínací cívkou 230V stř. </t>
  </si>
  <si>
    <t xml:space="preserve">Úprava rozvaděče </t>
  </si>
  <si>
    <t>Kabel CYKY-m 750 V 5 x 2,5 mm2 volně uložený</t>
  </si>
  <si>
    <t>Vodič nn a vn CYA 6 mm2 uložený v trubkách</t>
  </si>
  <si>
    <t>Vodič nn a vn CYA 10 mm2 uložený v trubkách</t>
  </si>
  <si>
    <t>Ukončení kabelů do 4 mm²</t>
  </si>
  <si>
    <t>Ukončení kabelů do 6 mm²</t>
  </si>
  <si>
    <t>Cu lisovací kabelové oko lehčené  6x 6 KU-L</t>
  </si>
  <si>
    <t>Cu lisovací kabelové oko lehčené  10x 8 KU-L</t>
  </si>
  <si>
    <t>LV 40x20 (žlab PVC 40/20)</t>
  </si>
  <si>
    <t>Úplná montáž kabelového žlabu, kolen, T-kusů na předem připravené upevňovací body, uzavření víky.</t>
  </si>
  <si>
    <t>Žlab kabelový plechový 40/ 20 mm</t>
  </si>
  <si>
    <t>-</t>
  </si>
  <si>
    <t>Vedlejší náklady</t>
  </si>
  <si>
    <t>05</t>
  </si>
  <si>
    <t>06</t>
  </si>
  <si>
    <t>Instalace FVE 1</t>
  </si>
  <si>
    <t xml:space="preserve"> 01 - Fotovoltaické panely, střídače, konstrukce a úprava bleskosvodu</t>
  </si>
  <si>
    <t>Demontáž stávající skříně</t>
  </si>
  <si>
    <t>04 - Tlačítko</t>
  </si>
  <si>
    <t>Požární  tlačítko GW 42-201 12x12x5 cm, červené se sklem</t>
  </si>
  <si>
    <t>05 - Kabely silové</t>
  </si>
  <si>
    <t>Kabel (N)HXCH FE180/E90 B2 ca s1 d0 3 x 1,5 mm2</t>
  </si>
  <si>
    <t>Instalace FVE 2</t>
  </si>
  <si>
    <t>06 - Vodiče, šňůry a kabely měděné</t>
  </si>
  <si>
    <t>Připojení a spotřeba energie pro zařízení staveniště (náklady na připojení, energie pro zařízení staveniště)</t>
  </si>
  <si>
    <t>Zabezpečení staveniště (oplocení staveniště, opatření na ochranu sousedních pozemků, dopravní značení na staveništi, osvětlení staveniště, informační tabule stavby, alarm, strážní služba, ochranné konstrukce)</t>
  </si>
  <si>
    <t>Pronájem ploch, objektů</t>
  </si>
  <si>
    <t>Zrušení zařízení staveniště (rozebrání, bourání a odvoz zařízení staveniště, úprava terénu)</t>
  </si>
  <si>
    <t>Vlivy klimatických podmínek</t>
  </si>
  <si>
    <t>Mimostaveništní doprava materiálů a výrobků</t>
  </si>
  <si>
    <t>Ostatní náklady</t>
  </si>
  <si>
    <t xml:space="preserve">    01 - Vedlejší náklady</t>
  </si>
  <si>
    <t xml:space="preserve"> 02 - Ostatní náklady</t>
  </si>
  <si>
    <t>Vedlejší náklady, Ostatní náklady</t>
  </si>
  <si>
    <t>Vybavení staveniště (náklady na stavební buňky, skládky na staveništi, náklady na provoz a údržbu vybavení staveniště)</t>
  </si>
  <si>
    <t>Kompletační a koordinační činnost</t>
  </si>
  <si>
    <t>Práce na těžce přístupných místech (práce ve výškách, práce bez pevné pracovní podlahy, práce ve stísněném prostoru)</t>
  </si>
  <si>
    <t>Průzkumné práce (stavebně-technický průzkum)</t>
  </si>
  <si>
    <t>DSPS - Dokumentace skutečného provedení stavby dle vyhlášky č. 405/2017 Sb.</t>
  </si>
  <si>
    <t>Zařízení staveniště, terénní úpravy pro zařízení staveniště</t>
  </si>
  <si>
    <t>RDS - Realizační dokumentace stavby v rozsahu, aby bylo možné dílo zrealizovat a zprovoznit</t>
  </si>
  <si>
    <t>Doprava na staveništi (vodorovná, horizontální)</t>
  </si>
  <si>
    <t>Požární tlačítko v krabici se sklem se 2 kontakty (1x NC + 1x NO), IP55, 12x12x5 cm, RAL 3000 červená, 1x NO 3 A / 240 V, 1x NC 3 A / 240 V, možnost instalace až 4 nezávislých spínacích kontaktů, včetně montáže</t>
  </si>
  <si>
    <t>Drátěný kabelový žlab, 100/100 mm, tvar U, ocel s pozinkováním</t>
  </si>
  <si>
    <t>Konstrukce fotovoltaických panelů, včetně montáže a uložení</t>
  </si>
  <si>
    <t>Hlavní ochranná přípojnice (HOP), včetně montáže a vyzbrojení</t>
  </si>
  <si>
    <t>Konektor MC4 konektor 4-6 mm se zámkem, včetně montáže</t>
  </si>
  <si>
    <t>Konektor MC4 zástrčka 4-6 mm se zámkem, včetně montáže</t>
  </si>
  <si>
    <t>Lišta hranatá, 40 x 20 mm, PVC, včetně montáže</t>
  </si>
  <si>
    <r>
      <t>Kabel NHXCH FE180/E90 B2 ca s1 d0 3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včetně montáže</t>
    </r>
  </si>
  <si>
    <r>
      <t>Lisovací kabelové oko lehčené,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/M6, Cu, cínované, včetně montáže</t>
    </r>
  </si>
  <si>
    <r>
      <t>Lisovací kabelové oko lehčené, 25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/M8, Cu, cínované, včetně montáže</t>
    </r>
  </si>
  <si>
    <r>
      <t>Kabel CYKY-O 12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</si>
  <si>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r>
      <t>Solární kabel 1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červený, UV odolný, včetně montáže</t>
    </r>
  </si>
  <si>
    <r>
      <t>Solární kabel 1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černý, UV odolný, včetně montáže</t>
    </r>
  </si>
  <si>
    <r>
      <t>Kabel CYKY-J 5 x 10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</si>
  <si>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t>Žlab kabelový, 40/20 mm, plechový s pozinkováním</t>
  </si>
  <si>
    <r>
      <t>Lisovací kabelové oko lehčené, 16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/M8, Cu, cínované, včetně montáže</t>
    </r>
  </si>
  <si>
    <r>
      <t>Kabel CYKY-J 5 x 50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</si>
  <si>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t>Fotovoltaický panel 340 Wp, minimální účinnost 19,4 %, monokrystalický, maximální rozměr 1705 x 1028 x 35 mm, včetně montáže</t>
  </si>
  <si>
    <t>Střídač, minimální výstupní výkon AC 82 kVA, minimální evropská účinnost 97%, DC vstup pomocí MC 4 nebo pruchodkami, minimální stupeň krytí IP 65, maximální vstupní napětí 1 000 V</t>
  </si>
  <si>
    <t>Střídač, minimální výstupní výkon AC 24 kVA, minimální evropská účinnost 97%, DC vstup pomocí MC 4 nebo pruchodkami, minimální stupeň krytí IP 65, maximální vstupní napětí 1 000 V</t>
  </si>
  <si>
    <t>YOUNG4ENERGY s.r.o.</t>
  </si>
  <si>
    <t>CZ04083351</t>
  </si>
  <si>
    <t>04083351</t>
  </si>
  <si>
    <t>ČEPRO, a.s., Dělnická 213/12, Holešovice, 170 00 Praha 7</t>
  </si>
  <si>
    <t>CZ60193531</t>
  </si>
  <si>
    <r>
      <t>Kabel AYKY 3 x 50 + 35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</si>
  <si>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t>Rozpojovací jistící skříň do výklenku obsahující potřebné sady pojistkových spodků , včetně montáže a vysekání otvoru</t>
  </si>
  <si>
    <t>Nožová pojistková vložka, 200 A, gG, vel. 1, Un AC 690 V / DC 250 V, včetně montáže</t>
  </si>
  <si>
    <t>Páska vázací 4,8 x 290 mm, černá, do 22 kg, UV odolná, balení po 100 ks, včetně montáže</t>
  </si>
  <si>
    <r>
      <t xml:space="preserve">Výkonový optimizér, minimální vstupní DC výkon 700 W, minimální účinnost 98 %, minimální vážená účinnost 98,5 %, vstupní konektor MC 4, maximální bezpečné výstupní napětí výkonového optimizeru v pohotovotstním režimu 1 </t>
    </r>
    <r>
      <rPr>
        <sz val="8"/>
        <rFont val="Calibri"/>
        <family val="2"/>
        <charset val="238"/>
      </rPr>
      <t>±</t>
    </r>
    <r>
      <rPr>
        <sz val="8"/>
        <rFont val="Trebuchet MS"/>
        <family val="2"/>
        <charset val="238"/>
      </rPr>
      <t xml:space="preserve"> 0,1 Vdc, včetně osazení a zapojení</t>
    </r>
  </si>
  <si>
    <r>
      <t>Solární kabel 1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červený, UV odolný, včetně montáže (zapojení a uložení do žlabu)</t>
    </r>
  </si>
  <si>
    <r>
      <t>Solární kabel 1 x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černý, UV odolný, včetně montáže (zapojení a uložení do žlabu)</t>
    </r>
  </si>
  <si>
    <t>Rozvaděč RAC 1 (nástěnný), 590 x 855 x 360 mm, IP66, včetně montáže, výzbroje dle PD a oživení</t>
  </si>
  <si>
    <t>Rozvaděč RDC 1 (nástěnný), 480 x 784 x 135 mm, IP66, včetně montáže, výbroje dle PD a oživení</t>
  </si>
  <si>
    <t>Propojovací kabel FTP mezi střídači, 2 x RJ45 - kat. 5e, 5 m, včetně montáže a zapojení</t>
  </si>
  <si>
    <t>Úprava stávajícího bleskosvodu včetně přeložení v důsledku instalace konstrukcí s panely, dopojení FVE na stavající bleskosvod</t>
  </si>
  <si>
    <t>Upevňovací příchytka jednostranná, D10 mm, těžká, žárově pozinkováno ponorem, balení 100 ks, včetně montáže</t>
  </si>
  <si>
    <t>03 - Elektroinstalační trubky a lišty</t>
  </si>
  <si>
    <r>
      <t>Vodič NN a VN CYA 6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včetně montáže</t>
    </r>
  </si>
  <si>
    <t>Úprava stávajícího bleskosvodu včetně přeložení v důsledku instalace konstrukcí s panely, dopojení řád konstrukcí na stavající bleskosvod</t>
  </si>
  <si>
    <r>
      <t>Vodič NN a VN CYA 25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včetně montáže</t>
    </r>
  </si>
  <si>
    <t>Žlab kabelový, 20/20 mm, plechový s pozinkováním</t>
  </si>
  <si>
    <t>Úplná montáž kabelových žlabů včetně spojování, kolen, upevňovacích bodů či konzolí,T-kusů na předem připravené upevňovací body, uzavření víkym, uzemnění</t>
  </si>
  <si>
    <r>
      <t>Kabel NHXCH FE180/E90 B2 ca s1 d0 3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včetně montáž</t>
    </r>
  </si>
  <si>
    <t>Ukončení kabelů 3 x 1,5 mm², včetně montáže</t>
  </si>
  <si>
    <t>Ukončení kabelů 12 x 1,5 mm², včetně montáže</t>
  </si>
  <si>
    <t>Ukončení kabelů do 5 x 10 mm², včetně montáže</t>
  </si>
  <si>
    <t>Ukončení kabelů do 1 x 35 mm², včetně montáže</t>
  </si>
  <si>
    <t>Ukončení kabelů do 3 x 50 mm², včetně montáže</t>
  </si>
  <si>
    <t>Fotovoltaický panel 340 Wp, minimální účinnost 19,4 %, monokrystalický, maximální rozměr 1 705 x 1 028 x 35 mm, včetně montáže</t>
  </si>
  <si>
    <t>Výkonový optimizér, minimální vstupní DC výkon 700 W, minimální účinnost 98 %, minimální vážená účinnost 98,5 %, vstupní konektor MC 4, maximální bezpečné výstupní napětí výkonového optimizeru v pohotovotstním režimu 1 ± 0,1 Vdc, včetně osazení a zapojení</t>
  </si>
  <si>
    <t>Rozvaděč RAC 1 (nástěnný), 600 x 460 x 360 mm, IP66, včetně montáže, výzbroje dle PD a oživení</t>
  </si>
  <si>
    <t>Rozvaděč RDC 1 (nástěnný), 600 x 760 x 270 mm, IP66, včetně montáže, výbroje dle PD a oživení</t>
  </si>
  <si>
    <t>Ukončení kabelů do 12 x 1,5 mm², včetně montáže</t>
  </si>
  <si>
    <t>Ukončení kabelů do 5 x 50 mm², včetně montáže</t>
  </si>
  <si>
    <t>Posudky a další dokumenty (plán BOZP na staveništi; plán zkoušek; technické požadavky na výrobky; ostatní posudky); operativní karta zdolávání požárů; požárně bezpečnostní řešení stavby dle skutečnosti, protokol o určení vnějších vlivů, provozní a jiné řády, manuály a příručky vztahující se k dílu, plnohodnotný český návod k obsluze, údržbě a servisu</t>
  </si>
  <si>
    <t>Zajistění odborných dozorů ze strany zhotovitele (zejména v rozsahu potřebných autorizací, certifikací, živnostenských a jiných oprávnění), zajištění koordinace BOZP a ochrany zdraví při práci na staveništi</t>
  </si>
  <si>
    <t>Zajištění veškerých zkoušek a měření, zejména v rozsahu plánu kontrolních prohlídek, plánu dílčích a komplexních zkoušek</t>
  </si>
  <si>
    <t>Zajištění veškeré dokumentace k dílu v rozsahu podkladů pro závěrečnou kontrolní prohlídku díla, technických listů, prohlášení o shodě, veškerých revizí, včetně zpracování autorizovaných zpráv, protokolů o provedených zkouškách, dokladů o likvidaci odpadů z montáže, prohlášení o souladu s ověřenou projektovou dokumentaci pro stavební povolení, stavební deník, závěrečný předávací protokol, veškeré doklady o funkčních zkouškách všech zařízení</t>
  </si>
  <si>
    <t>Ostatní náklady související se zahájením provozu díla (například náklady na zaškolení obsluhy včetně poučení o bezpečnosti práce)</t>
  </si>
  <si>
    <t>Ostatní náklady související s dílem (například dodávka SW vybavení, licenčních práv, předání kódů a hesel pro řádnou funkci SW části díla)</t>
  </si>
  <si>
    <t>01</t>
  </si>
  <si>
    <t>Instalace FVE s akumulací pro vlastní spotřebu elektřiny ve společnosti ČEPRO, a.s. v areálu Mstětice</t>
  </si>
  <si>
    <t>Areál skladu ČEPRO, a.s.; Mstětice 3, 250 91 Zeleneč</t>
  </si>
  <si>
    <t>Instalace bateriového systému</t>
  </si>
  <si>
    <t>03 - Rekonstrukce stávající skříně RIS 700/2</t>
  </si>
  <si>
    <t>IO 01 - Propoj mezi kotelnou a budovou č. 700/1 - Sklad a výdej olejů</t>
  </si>
  <si>
    <t>SO 03 - Instalace systému akumulace elektřiny o jmenovité kapacitě 107,52 kWh</t>
  </si>
  <si>
    <t>SO 02 - Instalace FVE 2 o výkonu 124,44 kWp na severní straně budovy č. 700/1 - Sklad a výdej olejů</t>
  </si>
  <si>
    <t>SO 01 - Instalace FVE 1 o výkonu 124,44 kWp na jižní straně budovy č. 700/1 - Sklad a výdej olejů</t>
  </si>
  <si>
    <r>
      <t>Kabel CYKY 3 x 50 + 35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>, 750 V, volně uložený, včetně montáže</t>
    </r>
  </si>
  <si>
    <t>03 - Tlačítko</t>
  </si>
  <si>
    <t>04 - Kabely silové</t>
  </si>
  <si>
    <t>05 - Vodiče, šňůry a kabely měděné</t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</si>
  <si>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(H07V-K) černý (DR)</t>
    </r>
  </si>
  <si>
    <r>
      <t>CYA 1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(H07V-K) černý (DR)</t>
    </r>
  </si>
  <si>
    <r>
      <t>CYA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(H07V-K) černý (DR)</t>
    </r>
  </si>
  <si>
    <r>
      <t>CYKY-CYKYm 12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750V (PU)</t>
    </r>
  </si>
  <si>
    <r>
      <t>CYKY-CYKYm 3B x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(CYKY 3J2.5) 750V (PU)</t>
    </r>
  </si>
  <si>
    <r>
      <t>CYSY 3A x 1.5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(H05VV-F 3X1.5) (PU)</t>
    </r>
  </si>
  <si>
    <t>Elektroměr 3-fázový</t>
  </si>
  <si>
    <t>Instalace UTP kabelu cat. 5E</t>
  </si>
  <si>
    <t>Jistič 1-pól. NN 25 A ve skříni</t>
  </si>
  <si>
    <t>Jistič 3-pólový ve skříňi do 25 A</t>
  </si>
  <si>
    <t xml:space="preserve">Montáž DIN lišty </t>
  </si>
  <si>
    <t>Montáž kabelové vývodky</t>
  </si>
  <si>
    <t>Montáž kabelu J-Y(ST)Y 1 x 2 x 0,8 červená</t>
  </si>
  <si>
    <t>Montáž meřícího transformátoru</t>
  </si>
  <si>
    <t>Montáž napájecího zdroje</t>
  </si>
  <si>
    <t>Montáž oceloplech. rozvodnic do 50 kg</t>
  </si>
  <si>
    <t>Montáž přepěťové ochrany</t>
  </si>
  <si>
    <t>Montáž převodníku</t>
  </si>
  <si>
    <t>Montáž senzoru venkovního osvitu</t>
  </si>
  <si>
    <t>Montáž signálky provozu</t>
  </si>
  <si>
    <t>Montáž vypínače do dveří rozvaděče</t>
  </si>
  <si>
    <t>Nalisování RJ45 konektoru</t>
  </si>
  <si>
    <t xml:space="preserve">ks </t>
  </si>
  <si>
    <t>Připevnění, zapáskování stahovacím páskem</t>
  </si>
  <si>
    <r>
      <t>Řádová svorkovnice vč. upevnění zapojení a popis. štítku 2,5 mm</t>
    </r>
    <r>
      <rPr>
        <vertAlign val="superscript"/>
        <sz val="8"/>
        <rFont val="Trebuchet MS"/>
        <family val="2"/>
        <charset val="238"/>
      </rPr>
      <t>2</t>
    </r>
  </si>
  <si>
    <t>Trubka plastová ohebná instalační průměr 23 mm (PU)</t>
  </si>
  <si>
    <t>Zalisování dutinkou</t>
  </si>
  <si>
    <t xml:space="preserve"> 02 - Měření a Regulace </t>
  </si>
  <si>
    <t>Montáž I/O jednotky</t>
  </si>
  <si>
    <t>Montáž PLC</t>
  </si>
  <si>
    <t>Montáž průmyslového počítače</t>
  </si>
  <si>
    <t>montáž průmyslového SWITCHe</t>
  </si>
  <si>
    <t>Montáž venkovního snímače teploty</t>
  </si>
  <si>
    <t xml:space="preserve"> 03 - Programování </t>
  </si>
  <si>
    <t>Energetický management</t>
  </si>
  <si>
    <t>Programování systému PLC</t>
  </si>
  <si>
    <t>Testování a zkušbní provoz</t>
  </si>
  <si>
    <t>Vizualizace</t>
  </si>
  <si>
    <t xml:space="preserve"> 04 - Materiál </t>
  </si>
  <si>
    <t>B10/1 jistič 1-P, B, 10 A, 10 kA</t>
  </si>
  <si>
    <t>B10/3 jistič</t>
  </si>
  <si>
    <t>B16/1 jistič</t>
  </si>
  <si>
    <t>B4/1 jistič 1-P, B, 4 A, 10 kA</t>
  </si>
  <si>
    <t>B6/1 jistič 1-P, B, 6 A, 10 kA</t>
  </si>
  <si>
    <r>
      <t>CYA 1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černá (H05V-K)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</si>
  <si>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černá (H07V-K)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</si>
  <si>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rudá (H07V-K)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</si>
  <si>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světle modrá (H07V-K) RAL5012</t>
    </r>
  </si>
  <si>
    <r>
      <t>CYA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tmavě modrá (H07V-K)</t>
    </r>
  </si>
  <si>
    <r>
      <t>CYA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černá (H07V-K)</t>
    </r>
  </si>
  <si>
    <r>
      <t>CYA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světle modrá (H07V-K) RAL5012</t>
    </r>
  </si>
  <si>
    <r>
      <t>CYA 2,5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zelenožlutá (H07V-K)</t>
    </r>
  </si>
  <si>
    <r>
      <t>CYKY-J 3 x 2,5 mm</t>
    </r>
    <r>
      <rPr>
        <vertAlign val="superscript"/>
        <sz val="8"/>
        <rFont val="Trebuchet MS"/>
        <family val="2"/>
        <charset val="238"/>
      </rPr>
      <t>2</t>
    </r>
  </si>
  <si>
    <r>
      <t>CYKY-O 12 x 1,5 mm</t>
    </r>
    <r>
      <rPr>
        <vertAlign val="superscript"/>
        <sz val="8"/>
        <rFont val="Trebuchet MS"/>
        <family val="2"/>
        <charset val="238"/>
      </rPr>
      <t>2</t>
    </r>
  </si>
  <si>
    <r>
      <t>CYSY H05VV-F 2 x 1,5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bílá</t>
    </r>
  </si>
  <si>
    <t>DI 1,0-8 (100) Dutinka izolovaná žlutá</t>
  </si>
  <si>
    <t>DI 1,5-8 (100) Dutinka izolovaná rudá</t>
  </si>
  <si>
    <t>DI 2,5-8 Dutinka izolovaná modrá</t>
  </si>
  <si>
    <t>DIN lišta</t>
  </si>
  <si>
    <t xml:space="preserve">Elektroměr neřímý X/5 A, MODBUS </t>
  </si>
  <si>
    <r>
      <t>J-Y(ST)Y 1 x 2 x 0,8 mm</t>
    </r>
    <r>
      <rPr>
        <vertAlign val="superscript"/>
        <sz val="8"/>
        <rFont val="Trebuchet MS"/>
        <family val="2"/>
        <charset val="238"/>
      </rPr>
      <t>2</t>
    </r>
    <r>
      <rPr>
        <sz val="8"/>
        <rFont val="Trebuchet MS"/>
        <family val="2"/>
        <charset val="238"/>
      </rPr>
      <t xml:space="preserve"> červená</t>
    </r>
  </si>
  <si>
    <t>Kabel CAT5E U/UTP PVC SOL</t>
  </si>
  <si>
    <t>Konc. přepážka RSA 2,5 A bílá</t>
  </si>
  <si>
    <t>Konc. svěrka RSA L-35 bílá</t>
  </si>
  <si>
    <t>Konektor RJ45 8P8C Cat.5E UTP kostička</t>
  </si>
  <si>
    <t>Měřící transformátor pro nepřímý elektroměr</t>
  </si>
  <si>
    <t>Montážní materiál - šroubky, hmoždinky, dutinky, očka, pásky</t>
  </si>
  <si>
    <t>N15 rozbočovací můstek modrý</t>
  </si>
  <si>
    <t>Napájecí zdroj, spínaný, 60 W, 24 Vdc, 21,6÷26,4 Vdc, 2,5 A, 85÷264 Vac</t>
  </si>
  <si>
    <t>AC/DC Napájecí Zdroj na DIN Lištu (PSU), ITE, ITE, 1 Výstup, 120 W, 24 V, 5 A</t>
  </si>
  <si>
    <t>PLC jednotka - 8x DI 24VDC, 8x DO 24VDC, 4x AO 0-10VDC, 8x AI U/I/Ni1000/Pt1000, RS232, RS485 GO, Ethernet 10/100 Mbps, integrovaný webový server, SD karta, DIN lišta</t>
  </si>
  <si>
    <t>Pojistka 1 A, 5 x 20 mm</t>
  </si>
  <si>
    <t>Trubičková pojistka F630 mA/250 V, 5 x 20 mm</t>
  </si>
  <si>
    <t>Propojovací hřeben dvoj. 2 RSA 2,5 A</t>
  </si>
  <si>
    <t>Průmyslový počítač</t>
  </si>
  <si>
    <t>Průmyslový SWITCH 5 port</t>
  </si>
  <si>
    <t>Průmyslový SWITCH 24 port</t>
  </si>
  <si>
    <t>Přepěťová ochrana s VF filtrem 16 A SPD typ 3</t>
  </si>
  <si>
    <t>Převodník MODBUS TCP na RTU/ASCII</t>
  </si>
  <si>
    <t>Řadová svorka RSA 2,5 A - bílá</t>
  </si>
  <si>
    <t>Řadová svorka RSA 2,5 A - červená</t>
  </si>
  <si>
    <t>Řadová svorka RSA 2,5 A - světle modrá</t>
  </si>
  <si>
    <t>Řadová svorka RSA 2,5 A - tmavě modrá</t>
  </si>
  <si>
    <t>Řadová svorka RSA PE 2,5 A</t>
  </si>
  <si>
    <t>Senzor venkovního osvitu</t>
  </si>
  <si>
    <t>Signálka provozu + upevnění + kontakty</t>
  </si>
  <si>
    <t>Skříň, 400 x 300 x 200 mm, MP, RAL 7035, IP66 skříň ocelová nástěnná, plné dvěře, montažní plech</t>
  </si>
  <si>
    <t>Skříň, 600 x 400 x 250 mm, MP, RAL 7035, IP66 skříň ocelová nástěnná, plné dvěře, montažní plech</t>
  </si>
  <si>
    <t>Stahovací pásky - bal. 100 ks</t>
  </si>
  <si>
    <t>Trubka ohebná</t>
  </si>
  <si>
    <t>Venkovní snímač teploty</t>
  </si>
  <si>
    <t>Vstupně / výstupní jednotka - 24x digital IN 24 V ss/st, galv. oddělení, ARION/MODBUS</t>
  </si>
  <si>
    <t>Vypínač 0-1, 1f/230 V</t>
  </si>
  <si>
    <t>Výstražné tabulky, tabulky, samolepky</t>
  </si>
  <si>
    <t xml:space="preserve"> 05 - AXY rozvaděč </t>
  </si>
  <si>
    <t>AXY rozvaděč, včetně vybavení, zapojení a instalace</t>
  </si>
  <si>
    <t>Trubka ohedná, DN 50, PE</t>
  </si>
  <si>
    <t>01 - Rekonstrukce stávající skříně RIS 341</t>
  </si>
  <si>
    <t>02 - Kabely silové</t>
  </si>
  <si>
    <t>02 - Elektroinstalační trubky</t>
  </si>
  <si>
    <t>03 - Žlab kabelový</t>
  </si>
  <si>
    <t>03 - Vodiče, šňůry a kabely měděné</t>
  </si>
  <si>
    <t>Elektromateriál</t>
  </si>
  <si>
    <t xml:space="preserve"> 01 - Bateriový systém</t>
  </si>
  <si>
    <t>02 - Tlačítko</t>
  </si>
  <si>
    <t>03 - Kabely silové</t>
  </si>
  <si>
    <t>04 - Vodiče, šňůry a kabely měděné</t>
  </si>
  <si>
    <t>01 - Úprava stavajícího rozvadeč RH</t>
  </si>
  <si>
    <t>Drátěný kabelový žlab, 50/50 mm, tvar U, ocel s pozinkováním</t>
  </si>
  <si>
    <t xml:space="preserve">3f jistič nastavitelný, 140 A, s vypínací cívkou 230V stř. </t>
  </si>
  <si>
    <t>Drátěný kabelový žlab, 62/50 mm, tvar U, ocel s pozinkováním</t>
  </si>
  <si>
    <t>Bateriový systém o celkové 107,52 kWh; 12x bateriový modul na bázi LFP minimální kapacita 8,5 kWh vč. příslušenství (bateriový rack, BMS, propojovací kabeláž); 2x bateriový měnič o minimálním výkonu 30 kW v samostatném RACKU; rozvaděč NN (nástěnný), IP66, včetně montáže, výzbroje dle PD a oživení; propojovací kabeláž mezi bateriovým systémem, NN rozvaděčem a měniči; uzlový měřící bod sítě vč. kabeláže a proudových senzorů; klimatizační systém; stabilní hasicí systém; EMS systém</t>
  </si>
  <si>
    <t>SO 04 – Komplexní řídicí systém pro řízení spotřeby a akumulaci elektřiny</t>
  </si>
  <si>
    <t>Komplexní řídicí systém pro řízení spotřeby a akumulaci elektřiny</t>
  </si>
  <si>
    <t xml:space="preserve"> 01 - Komplexní řídicí systém pro řízení spotřeby a akumulaci elektřiny</t>
  </si>
  <si>
    <t>Realizace jistícího systému pro budoucí servis a údržbu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</si>
</sst>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;\-0.00%"/>
    <numFmt numFmtId="165" formatCode="dd\.mm\.yyyy"/>
    <numFmt numFmtId="166" formatCode="#,##0.00000;\-#,##0.00000"/>
    <numFmt numFmtId="167" formatCode="#,##0.000;\-#,##0.000"/>
  </numFmts>
  <fonts count="46" x14ac:knownFonts="1">
    <font>
      <sz val="8"/>
      <name val="Trebuchet MS"/>
      <charset val="238"/>
    </font>
    <font>
      <sz val="8"/>
      <color indexed="43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indexed="55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MS Sans Serif"/>
      <family val="2"/>
      <charset val="238"/>
    </font>
    <font>
      <sz val="8"/>
      <color indexed="48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vertAlign val="superscript"/>
      <sz val="8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b/>
      <sz val="11"/>
      <color rgb="FFFF0000"/>
      <name val="Trebuchet MS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5">
    <xf numFmtId="0" fontId="0" fillId="0" borderId="0" applyAlignment="0">
      <alignment vertical="top" wrapText="1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7" fillId="0" borderId="0"/>
    <xf numFmtId="0" fontId="32" fillId="0" borderId="0" applyAlignment="0">
      <alignment vertical="top" wrapText="1"/>
      <protection locked="0"/>
    </xf>
    <xf numFmtId="0" fontId="29" fillId="0" borderId="0"/>
    <xf numFmtId="0" fontId="35" fillId="0" borderId="0"/>
    <xf numFmtId="0" fontId="35" fillId="0" borderId="0"/>
    <xf numFmtId="0" fontId="29" fillId="0" borderId="0" applyAlignment="0">
      <alignment vertical="top" wrapText="1"/>
      <protection locked="0"/>
    </xf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355">
    <xf numFmtId="0" fontId="0" fillId="0" borderId="0" xfId="0" applyAlignment="1">
      <alignment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39" fillId="2" borderId="0" xfId="2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39" fontId="16" fillId="0" borderId="13" xfId="0" applyNumberFormat="1" applyFont="1" applyBorder="1" applyAlignment="1" applyProtection="1">
      <alignment horizontal="right" vertical="center"/>
    </xf>
    <xf numFmtId="39" fontId="16" fillId="0" borderId="0" xfId="0" applyNumberFormat="1" applyFont="1" applyAlignment="1" applyProtection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39" fontId="16" fillId="0" borderId="14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39" fontId="22" fillId="0" borderId="13" xfId="0" applyNumberFormat="1" applyFont="1" applyBorder="1" applyAlignment="1" applyProtection="1">
      <alignment horizontal="right" vertical="center"/>
    </xf>
    <xf numFmtId="39" fontId="22" fillId="0" borderId="0" xfId="0" applyNumberFormat="1" applyFont="1" applyAlignment="1" applyProtection="1">
      <alignment horizontal="right" vertical="center"/>
    </xf>
    <xf numFmtId="166" fontId="22" fillId="0" borderId="0" xfId="0" applyNumberFormat="1" applyFont="1" applyAlignment="1" applyProtection="1">
      <alignment horizontal="right" vertical="center"/>
    </xf>
    <xf numFmtId="39" fontId="22" fillId="0" borderId="14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39" fontId="14" fillId="0" borderId="13" xfId="0" applyNumberFormat="1" applyFont="1" applyBorder="1" applyAlignment="1" applyProtection="1">
      <alignment horizontal="right" vertical="center"/>
    </xf>
    <xf numFmtId="39" fontId="14" fillId="0" borderId="0" xfId="0" applyNumberFormat="1" applyFont="1" applyAlignment="1" applyProtection="1">
      <alignment horizontal="right" vertical="center"/>
    </xf>
    <xf numFmtId="166" fontId="14" fillId="0" borderId="0" xfId="0" applyNumberFormat="1" applyFont="1" applyAlignment="1" applyProtection="1">
      <alignment horizontal="right" vertical="center"/>
    </xf>
    <xf numFmtId="39" fontId="14" fillId="0" borderId="14" xfId="0" applyNumberFormat="1" applyFont="1" applyBorder="1" applyAlignment="1" applyProtection="1">
      <alignment horizontal="right" vertical="center"/>
    </xf>
    <xf numFmtId="39" fontId="22" fillId="0" borderId="15" xfId="0" applyNumberFormat="1" applyFont="1" applyBorder="1" applyAlignment="1" applyProtection="1">
      <alignment horizontal="right" vertical="center"/>
    </xf>
    <xf numFmtId="39" fontId="22" fillId="0" borderId="16" xfId="0" applyNumberFormat="1" applyFont="1" applyBorder="1" applyAlignment="1" applyProtection="1">
      <alignment horizontal="right" vertical="center"/>
    </xf>
    <xf numFmtId="166" fontId="22" fillId="0" borderId="16" xfId="0" applyNumberFormat="1" applyFont="1" applyBorder="1" applyAlignment="1" applyProtection="1">
      <alignment horizontal="right" vertical="center"/>
    </xf>
    <xf numFmtId="39" fontId="22" fillId="0" borderId="17" xfId="0" applyNumberFormat="1" applyFont="1" applyBorder="1" applyAlignment="1" applyProtection="1">
      <alignment horizontal="right" vertical="center"/>
    </xf>
    <xf numFmtId="164" fontId="14" fillId="3" borderId="10" xfId="0" applyNumberFormat="1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39" fontId="14" fillId="0" borderId="12" xfId="0" applyNumberFormat="1" applyFont="1" applyBorder="1" applyAlignment="1" applyProtection="1">
      <alignment horizontal="right" vertical="center"/>
    </xf>
    <xf numFmtId="39" fontId="0" fillId="0" borderId="0" xfId="0" applyNumberFormat="1" applyAlignment="1" applyProtection="1">
      <alignment horizontal="right" vertical="center"/>
    </xf>
    <xf numFmtId="164" fontId="14" fillId="3" borderId="13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164" fontId="14" fillId="3" borderId="15" xfId="0" applyNumberFormat="1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39" fontId="14" fillId="0" borderId="17" xfId="0" applyNumberFormat="1" applyFont="1" applyBorder="1" applyAlignment="1" applyProtection="1">
      <alignment horizontal="right" vertical="center"/>
    </xf>
    <xf numFmtId="0" fontId="17" fillId="4" borderId="0" xfId="0" applyFont="1" applyFill="1" applyAlignment="1" applyProtection="1">
      <alignment horizontal="left" vertical="center"/>
    </xf>
    <xf numFmtId="49" fontId="6" fillId="3" borderId="0" xfId="0" applyNumberFormat="1" applyFont="1" applyFill="1" applyAlignment="1">
      <alignment horizontal="left" vertical="top"/>
      <protection locked="0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righ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26" fillId="0" borderId="11" xfId="0" applyNumberFormat="1" applyFont="1" applyBorder="1" applyAlignment="1" applyProtection="1">
      <alignment horizontal="right"/>
    </xf>
    <xf numFmtId="166" fontId="26" fillId="0" borderId="12" xfId="0" applyNumberFormat="1" applyFont="1" applyBorder="1" applyAlignment="1" applyProtection="1">
      <alignment horizontal="right"/>
    </xf>
    <xf numFmtId="39" fontId="27" fillId="0" borderId="0" xfId="0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5" fillId="0" borderId="5" xfId="0" applyFont="1" applyBorder="1" applyAlignment="1" applyProtection="1">
      <alignment horizontal="left"/>
    </xf>
    <xf numFmtId="0" fontId="25" fillId="0" borderId="13" xfId="0" applyFont="1" applyBorder="1" applyAlignment="1" applyProtection="1">
      <alignment horizontal="left"/>
    </xf>
    <xf numFmtId="166" fontId="25" fillId="0" borderId="0" xfId="0" applyNumberFormat="1" applyFont="1" applyAlignment="1" applyProtection="1">
      <alignment horizontal="right"/>
    </xf>
    <xf numFmtId="166" fontId="25" fillId="0" borderId="14" xfId="0" applyNumberFormat="1" applyFont="1" applyBorder="1" applyAlignment="1" applyProtection="1">
      <alignment horizontal="right"/>
    </xf>
    <xf numFmtId="39" fontId="25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/>
    </xf>
    <xf numFmtId="0" fontId="0" fillId="0" borderId="24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167" fontId="0" fillId="0" borderId="24" xfId="0" applyNumberFormat="1" applyBorder="1" applyAlignment="1" applyProtection="1">
      <alignment horizontal="right" vertical="center"/>
    </xf>
    <xf numFmtId="0" fontId="12" fillId="3" borderId="24" xfId="0" applyFont="1" applyFill="1" applyBorder="1" applyAlignment="1" applyProtection="1">
      <alignment horizontal="left" vertical="center"/>
    </xf>
    <xf numFmtId="166" fontId="12" fillId="0" borderId="0" xfId="0" applyNumberFormat="1" applyFont="1" applyAlignment="1" applyProtection="1">
      <alignment horizontal="right" vertical="center"/>
    </xf>
    <xf numFmtId="166" fontId="12" fillId="0" borderId="14" xfId="0" applyNumberFormat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49" fontId="29" fillId="0" borderId="24" xfId="0" applyNumberFormat="1" applyFont="1" applyBorder="1" applyAlignment="1" applyProtection="1">
      <alignment horizontal="left" vertical="center" wrapText="1"/>
    </xf>
    <xf numFmtId="0" fontId="29" fillId="0" borderId="24" xfId="0" applyFont="1" applyBorder="1" applyAlignment="1" applyProtection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  <protection locked="0"/>
    </xf>
    <xf numFmtId="0" fontId="28" fillId="0" borderId="24" xfId="6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left" vertical="center"/>
    </xf>
    <xf numFmtId="0" fontId="29" fillId="0" borderId="24" xfId="0" applyFont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left" vertical="center"/>
    </xf>
    <xf numFmtId="0" fontId="0" fillId="0" borderId="25" xfId="0" applyBorder="1" applyAlignment="1" applyProtection="1">
      <alignment horizontal="left" vertical="top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/>
    </xf>
    <xf numFmtId="0" fontId="29" fillId="0" borderId="24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5" fillId="0" borderId="5" xfId="0" applyFont="1" applyBorder="1" applyAlignment="1" applyProtection="1">
      <alignment horizontal="left"/>
    </xf>
    <xf numFmtId="0" fontId="25" fillId="0" borderId="13" xfId="0" applyFont="1" applyBorder="1" applyAlignment="1" applyProtection="1">
      <alignment horizontal="left"/>
    </xf>
    <xf numFmtId="166" fontId="25" fillId="0" borderId="0" xfId="0" applyNumberFormat="1" applyFont="1" applyAlignment="1" applyProtection="1">
      <alignment horizontal="right"/>
    </xf>
    <xf numFmtId="166" fontId="25" fillId="0" borderId="14" xfId="0" applyNumberFormat="1" applyFont="1" applyBorder="1" applyAlignment="1" applyProtection="1">
      <alignment horizontal="right"/>
    </xf>
    <xf numFmtId="39" fontId="25" fillId="0" borderId="0" xfId="0" applyNumberFormat="1" applyFont="1" applyAlignment="1" applyProtection="1">
      <alignment horizontal="right" vertical="center"/>
    </xf>
    <xf numFmtId="0" fontId="0" fillId="0" borderId="24" xfId="0" applyBorder="1" applyAlignment="1" applyProtection="1">
      <alignment horizontal="center" vertical="center"/>
    </xf>
    <xf numFmtId="167" fontId="0" fillId="0" borderId="24" xfId="0" applyNumberFormat="1" applyBorder="1" applyAlignment="1" applyProtection="1">
      <alignment horizontal="right" vertical="center"/>
    </xf>
    <xf numFmtId="49" fontId="29" fillId="0" borderId="24" xfId="0" applyNumberFormat="1" applyFont="1" applyBorder="1" applyAlignment="1" applyProtection="1">
      <alignment horizontal="left" vertical="center" wrapText="1"/>
    </xf>
    <xf numFmtId="0" fontId="29" fillId="0" borderId="24" xfId="0" applyFont="1" applyBorder="1" applyAlignment="1" applyProtection="1">
      <alignment horizontal="center" vertical="center" wrapText="1"/>
    </xf>
    <xf numFmtId="0" fontId="38" fillId="0" borderId="0" xfId="2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25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center"/>
    </xf>
    <xf numFmtId="166" fontId="12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39" fontId="0" fillId="0" borderId="0" xfId="0" applyNumberFormat="1" applyAlignment="1" applyProtection="1">
      <alignment horizontal="right" vertical="center"/>
    </xf>
    <xf numFmtId="0" fontId="0" fillId="0" borderId="24" xfId="0" applyBorder="1" applyAlignment="1" applyProtection="1">
      <alignment horizontal="center" vertical="center"/>
    </xf>
    <xf numFmtId="167" fontId="0" fillId="0" borderId="24" xfId="0" applyNumberFormat="1" applyBorder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0" fontId="29" fillId="0" borderId="24" xfId="0" applyFont="1" applyBorder="1" applyAlignment="1" applyProtection="1">
      <alignment horizontal="center" vertical="center" wrapText="1"/>
    </xf>
    <xf numFmtId="0" fontId="29" fillId="0" borderId="24" xfId="0" applyFont="1" applyBorder="1" applyAlignment="1" applyProtection="1">
      <alignment horizontal="center" vertical="center"/>
    </xf>
    <xf numFmtId="39" fontId="19" fillId="0" borderId="0" xfId="0" applyNumberFormat="1" applyFont="1" applyAlignment="1" applyProtection="1">
      <alignment horizontal="left" vertical="center"/>
    </xf>
    <xf numFmtId="39" fontId="44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39" fontId="10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29" fillId="0" borderId="24" xfId="0" applyNumberFormat="1" applyFont="1" applyFill="1" applyBorder="1" applyAlignment="1" applyProtection="1">
      <alignment horizontal="left" vertical="center" wrapText="1"/>
    </xf>
    <xf numFmtId="49" fontId="0" fillId="0" borderId="24" xfId="0" applyNumberForma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4" borderId="22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left"/>
    </xf>
    <xf numFmtId="0" fontId="0" fillId="0" borderId="27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5" fillId="0" borderId="31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0" fillId="0" borderId="32" xfId="0" applyBorder="1" applyAlignment="1" applyProtection="1">
      <alignment horizontal="left" vertical="top"/>
    </xf>
    <xf numFmtId="0" fontId="0" fillId="0" borderId="34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33" xfId="0" applyBorder="1" applyAlignment="1" applyProtection="1">
      <alignment horizontal="left" vertical="top"/>
    </xf>
    <xf numFmtId="0" fontId="0" fillId="0" borderId="0" xfId="0" applyAlignment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49" fontId="29" fillId="0" borderId="0" xfId="0" applyNumberFormat="1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center" vertical="center" wrapText="1"/>
    </xf>
    <xf numFmtId="167" fontId="0" fillId="0" borderId="0" xfId="0" applyNumberFormat="1" applyAlignment="1" applyProtection="1">
      <alignment horizontal="right" vertical="center"/>
    </xf>
    <xf numFmtId="0" fontId="0" fillId="0" borderId="34" xfId="0" applyBorder="1" applyAlignment="1" applyProtection="1">
      <alignment horizontal="left" vertical="top"/>
    </xf>
    <xf numFmtId="0" fontId="0" fillId="0" borderId="36" xfId="0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24" fillId="0" borderId="31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11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39" fontId="7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center" vertical="center"/>
    </xf>
    <xf numFmtId="49" fontId="6" fillId="3" borderId="0" xfId="0" applyNumberFormat="1" applyFont="1" applyFill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39" fontId="10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33" fillId="4" borderId="0" xfId="0" applyFont="1" applyFill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39" fontId="8" fillId="4" borderId="9" xfId="0" applyNumberFormat="1" applyFont="1" applyFill="1" applyBorder="1" applyAlignment="1" applyProtection="1">
      <alignment horizontal="right" vertical="center"/>
    </xf>
    <xf numFmtId="0" fontId="0" fillId="4" borderId="26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5" fontId="6" fillId="0" borderId="0" xfId="0" applyNumberFormat="1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39" fontId="21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center" vertical="center"/>
    </xf>
    <xf numFmtId="39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center" wrapText="1"/>
    </xf>
    <xf numFmtId="49" fontId="20" fillId="0" borderId="0" xfId="0" applyNumberFormat="1" applyFont="1" applyAlignment="1" applyProtection="1">
      <alignment horizontal="left" vertical="center"/>
    </xf>
    <xf numFmtId="39" fontId="23" fillId="0" borderId="0" xfId="0" applyNumberFormat="1" applyFont="1" applyAlignment="1" applyProtection="1">
      <alignment horizontal="right" vertical="center"/>
    </xf>
    <xf numFmtId="0" fontId="23" fillId="3" borderId="0" xfId="0" applyFont="1" applyFill="1" applyAlignment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39" fontId="23" fillId="3" borderId="0" xfId="0" applyNumberFormat="1" applyFont="1" applyFill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39" fontId="17" fillId="4" borderId="0" xfId="0" applyNumberFormat="1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39" fontId="0" fillId="0" borderId="24" xfId="0" applyNumberForma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39" fontId="0" fillId="3" borderId="24" xfId="0" applyNumberFormat="1" applyFill="1" applyBorder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left" vertical="center" wrapText="1"/>
    </xf>
    <xf numFmtId="0" fontId="29" fillId="0" borderId="23" xfId="0" applyFont="1" applyFill="1" applyBorder="1" applyAlignment="1" applyProtection="1">
      <alignment horizontal="left" vertical="center" wrapText="1"/>
    </xf>
    <xf numFmtId="0" fontId="29" fillId="0" borderId="24" xfId="0" applyFont="1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/>
    </xf>
    <xf numFmtId="39" fontId="23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left"/>
    </xf>
    <xf numFmtId="39" fontId="23" fillId="0" borderId="22" xfId="0" applyNumberFormat="1" applyFont="1" applyBorder="1" applyAlignment="1" applyProtection="1">
      <alignment horizontal="right"/>
    </xf>
    <xf numFmtId="39" fontId="0" fillId="3" borderId="21" xfId="0" applyNumberFormat="1" applyFill="1" applyBorder="1" applyAlignment="1">
      <alignment horizontal="right" vertical="center"/>
      <protection locked="0"/>
    </xf>
    <xf numFmtId="39" fontId="0" fillId="3" borderId="23" xfId="0" applyNumberFormat="1" applyFill="1" applyBorder="1" applyAlignment="1">
      <alignment horizontal="right" vertical="center"/>
      <protection locked="0"/>
    </xf>
    <xf numFmtId="39" fontId="0" fillId="0" borderId="21" xfId="0" applyNumberFormat="1" applyBorder="1" applyAlignment="1" applyProtection="1">
      <alignment horizontal="right" vertical="center"/>
    </xf>
    <xf numFmtId="39" fontId="0" fillId="0" borderId="22" xfId="0" applyNumberFormat="1" applyBorder="1" applyAlignment="1" applyProtection="1">
      <alignment horizontal="right" vertical="center"/>
    </xf>
    <xf numFmtId="39" fontId="0" fillId="0" borderId="23" xfId="0" applyNumberFormat="1" applyBorder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wrapText="1"/>
    </xf>
    <xf numFmtId="39" fontId="8" fillId="4" borderId="0" xfId="0" applyNumberFormat="1" applyFon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horizontal="left" vertical="center"/>
    </xf>
    <xf numFmtId="0" fontId="29" fillId="0" borderId="24" xfId="0" applyFont="1" applyFill="1" applyBorder="1" applyAlignment="1" applyProtection="1">
      <alignment horizontal="left" vertical="center"/>
    </xf>
    <xf numFmtId="39" fontId="24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39" fillId="2" borderId="0" xfId="2" applyFont="1" applyFill="1" applyAlignment="1" applyProtection="1">
      <alignment horizontal="center" vertical="center"/>
    </xf>
    <xf numFmtId="39" fontId="17" fillId="0" borderId="0" xfId="0" applyNumberFormat="1" applyFont="1" applyAlignment="1" applyProtection="1">
      <alignment horizontal="right"/>
    </xf>
    <xf numFmtId="39" fontId="24" fillId="0" borderId="0" xfId="0" applyNumberFormat="1" applyFont="1" applyAlignment="1" applyProtection="1">
      <alignment horizontal="right"/>
    </xf>
    <xf numFmtId="0" fontId="6" fillId="4" borderId="0" xfId="0" applyFont="1" applyFill="1" applyAlignment="1" applyProtection="1">
      <alignment horizontal="center" vertical="center"/>
    </xf>
    <xf numFmtId="0" fontId="6" fillId="3" borderId="0" xfId="0" applyFont="1" applyFill="1" applyAlignment="1">
      <alignment horizontal="left" vertical="center"/>
      <protection locked="0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65" fontId="6" fillId="3" borderId="0" xfId="0" applyNumberFormat="1" applyFont="1" applyFill="1" applyAlignment="1">
      <alignment horizontal="left" vertical="top"/>
      <protection locked="0"/>
    </xf>
    <xf numFmtId="39" fontId="23" fillId="0" borderId="16" xfId="0" applyNumberFormat="1" applyFont="1" applyBorder="1" applyAlignment="1" applyProtection="1">
      <alignment horizontal="right"/>
    </xf>
    <xf numFmtId="39" fontId="29" fillId="3" borderId="21" xfId="0" applyNumberFormat="1" applyFont="1" applyFill="1" applyBorder="1" applyAlignment="1">
      <alignment horizontal="right" vertical="center"/>
      <protection locked="0"/>
    </xf>
    <xf numFmtId="39" fontId="29" fillId="3" borderId="23" xfId="0" applyNumberFormat="1" applyFont="1" applyFill="1" applyBorder="1" applyAlignment="1">
      <alignment horizontal="right" vertical="center"/>
      <protection locked="0"/>
    </xf>
    <xf numFmtId="0" fontId="29" fillId="0" borderId="24" xfId="0" applyFont="1" applyBorder="1" applyAlignment="1" applyProtection="1">
      <alignment horizontal="left" vertical="center" wrapText="1"/>
    </xf>
    <xf numFmtId="39" fontId="23" fillId="0" borderId="0" xfId="0" applyNumberFormat="1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left"/>
    </xf>
    <xf numFmtId="39" fontId="24" fillId="0" borderId="0" xfId="0" applyNumberFormat="1" applyFont="1" applyBorder="1" applyAlignment="1" applyProtection="1">
      <alignment horizontal="right"/>
    </xf>
    <xf numFmtId="0" fontId="29" fillId="0" borderId="24" xfId="0" applyFont="1" applyBorder="1" applyAlignment="1" applyProtection="1">
      <alignment horizontal="left" vertical="center"/>
    </xf>
    <xf numFmtId="0" fontId="29" fillId="0" borderId="21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</xf>
    <xf numFmtId="39" fontId="17" fillId="0" borderId="0" xfId="0" applyNumberFormat="1" applyFont="1" applyBorder="1" applyAlignment="1" applyProtection="1">
      <alignment horizontal="right" vertical="center"/>
    </xf>
    <xf numFmtId="0" fontId="29" fillId="5" borderId="21" xfId="0" applyFont="1" applyFill="1" applyBorder="1" applyAlignment="1" applyProtection="1">
      <alignment horizontal="left" vertical="center" wrapText="1"/>
    </xf>
    <xf numFmtId="0" fontId="29" fillId="5" borderId="22" xfId="0" applyFont="1" applyFill="1" applyBorder="1" applyAlignment="1" applyProtection="1">
      <alignment horizontal="left" vertical="center" wrapText="1"/>
    </xf>
    <xf numFmtId="0" fontId="29" fillId="5" borderId="23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right"/>
    </xf>
    <xf numFmtId="165" fontId="6" fillId="0" borderId="0" xfId="0" applyNumberFormat="1" applyFont="1" applyAlignment="1" applyProtection="1">
      <alignment horizontal="left" vertical="top"/>
    </xf>
    <xf numFmtId="0" fontId="42" fillId="0" borderId="21" xfId="0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0" fontId="42" fillId="0" borderId="24" xfId="0" applyFont="1" applyBorder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</cellXfs>
  <cellStyles count="15">
    <cellStyle name="Collegamento ipertestuale 2" xfId="1" xr:uid="{00000000-0005-0000-0000-000000000000}"/>
    <cellStyle name="Hypertextový odkaz" xfId="2" builtinId="8"/>
    <cellStyle name="Hypertextový odkaz 2" xfId="3" xr:uid="{00000000-0005-0000-0000-000002000000}"/>
    <cellStyle name="Normale 2" xfId="4" xr:uid="{00000000-0005-0000-0000-000003000000}"/>
    <cellStyle name="Normální" xfId="0" builtinId="0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 4 2 2" xfId="11" xr:uid="{854670B6-AC92-4B66-836A-A7977A697438}"/>
    <cellStyle name="Normální 4 2 3" xfId="12" xr:uid="{AB2482F9-C456-4FFC-A9AF-23ED9BF83A67}"/>
    <cellStyle name="Normální 4 3" xfId="13" xr:uid="{C9712EFD-0B7D-4D0A-938D-28E402E20E4B}"/>
    <cellStyle name="Normální 4 4" xfId="10" xr:uid="{3AF317E9-D503-433F-AE37-E3B6201D4814}"/>
    <cellStyle name="Normální 4 4 2" xfId="14" xr:uid="{76DFF116-EC32-4F64-A0BD-A4BD106B55C0}"/>
    <cellStyle name="Normální 5" xfId="9" xr:uid="{00000000-0005-0000-0000-000009000000}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5AD8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HETYCH~1\LOCALS~1\Temp\KrosPlus\rad01068.tmp" TargetMode="External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278130</xdr:rowOff>
    </xdr:to>
    <xdr:pic>
      <xdr:nvPicPr>
        <xdr:cNvPr id="1252" name="rad5AD86.tmp" descr="C:\DOCUME~1\HETYCH~1\LOCALS~1\Temp\KrosPlus\rad5AD86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EB22AB3B-341F-448E-9F8B-18A947766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2721</xdr:rowOff>
    </xdr:to>
    <xdr:pic>
      <xdr:nvPicPr>
        <xdr:cNvPr id="2265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64C0EF1C-85D6-4CA8-8EF5-E269FBC5C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281414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C66FFDEB-D96B-460D-80C3-11ACCDBE1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D4882973-B622-45EA-8C00-D0286CF88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281414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EF49B731-E887-43E7-8924-4736775F9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433A32F0-FBEA-413F-A7EA-B3B3F1592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10457" name="rad01068.tmp" descr="C:\DOCUME~1\HETYCH~1\LOCALS~1\Temp\KrosPlus\rad01068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1B68AB94-CA78-49A5-A7FF-29E9F80FD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L106"/>
  <sheetViews>
    <sheetView showGridLines="0" tabSelected="1" zoomScale="115" zoomScaleNormal="115" workbookViewId="0">
      <pane ySplit="1" topLeftCell="A2" activePane="bottomLeft" state="frozenSplit"/>
      <selection activeCell="F151" sqref="F151:I151"/>
      <selection pane="bottomLeft" activeCell="D95" sqref="D95:AB95"/>
    </sheetView>
  </sheetViews>
  <sheetFormatPr defaultColWidth="10.664062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9" width="2.5" style="6" customWidth="1"/>
    <col min="10" max="10" width="8.5" style="6" customWidth="1"/>
    <col min="11" max="31" width="2.5" style="6" customWidth="1"/>
    <col min="32" max="32" width="3" style="6" customWidth="1"/>
    <col min="33" max="33" width="2.5" style="6" customWidth="1"/>
    <col min="34" max="34" width="3.33203125" style="6" customWidth="1"/>
    <col min="35" max="35" width="2.5" style="6" customWidth="1"/>
    <col min="36" max="37" width="3.1640625" style="6" customWidth="1"/>
    <col min="38" max="38" width="7.83203125" style="6" customWidth="1"/>
    <col min="39" max="39" width="8.5" style="6" customWidth="1"/>
    <col min="40" max="40" width="13.33203125" style="6" customWidth="1"/>
    <col min="41" max="41" width="7.5" style="6" customWidth="1"/>
    <col min="42" max="42" width="4.1640625" style="6" customWidth="1"/>
    <col min="43" max="43" width="1.6640625" style="6" customWidth="1"/>
    <col min="44" max="44" width="9.83203125" style="6" customWidth="1"/>
    <col min="45" max="45" width="26.1640625" style="6" hidden="1" customWidth="1"/>
    <col min="46" max="46" width="14" style="6" hidden="1" customWidth="1"/>
    <col min="47" max="47" width="21.6640625" style="6" hidden="1" customWidth="1"/>
    <col min="48" max="48" width="16" style="6" hidden="1" customWidth="1"/>
    <col min="49" max="49" width="16.33203125" style="6" hidden="1" customWidth="1"/>
    <col min="50" max="50" width="15.5" style="6" hidden="1" customWidth="1"/>
    <col min="51" max="51" width="14.33203125" style="6" hidden="1" customWidth="1"/>
    <col min="52" max="52" width="6.83203125" style="6" hidden="1" customWidth="1"/>
    <col min="53" max="53" width="8.5" style="6" hidden="1" customWidth="1"/>
    <col min="54" max="54" width="12.6640625" style="6" hidden="1" customWidth="1"/>
    <col min="55" max="56" width="8" style="6" hidden="1" customWidth="1"/>
    <col min="57" max="57" width="66.5" style="6" customWidth="1"/>
    <col min="58" max="58" width="10.6640625" style="6" customWidth="1"/>
    <col min="59" max="59" width="10.6640625" style="6" hidden="1" customWidth="1"/>
    <col min="60" max="70" width="15.83203125" style="6" hidden="1" customWidth="1"/>
    <col min="71" max="89" width="10.6640625" style="6" hidden="1" customWidth="1"/>
    <col min="90" max="90" width="10.6640625" style="6" customWidth="1"/>
    <col min="91" max="16384" width="10.6640625" style="6"/>
  </cols>
  <sheetData>
    <row r="1" spans="1:73" s="5" customFormat="1" ht="22.5" customHeight="1" x14ac:dyDescent="0.3">
      <c r="A1" s="1">
        <v>2012</v>
      </c>
      <c r="B1" s="2"/>
      <c r="C1" s="2"/>
      <c r="D1" s="3" t="s">
        <v>0</v>
      </c>
      <c r="E1" s="2"/>
      <c r="F1" s="2"/>
      <c r="G1" s="2"/>
      <c r="H1" s="2"/>
      <c r="I1" s="2"/>
      <c r="J1" s="2"/>
      <c r="K1" s="4" t="s">
        <v>113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114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BA1" s="1" t="s">
        <v>1</v>
      </c>
      <c r="BT1" s="1" t="s">
        <v>2</v>
      </c>
      <c r="BU1" s="1" t="s">
        <v>2</v>
      </c>
    </row>
    <row r="2" spans="1:73" ht="37.5" customHeight="1" x14ac:dyDescent="0.3">
      <c r="C2" s="247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R2" s="256" t="s">
        <v>3</v>
      </c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7" t="s">
        <v>4</v>
      </c>
      <c r="BT2" s="7" t="s">
        <v>5</v>
      </c>
    </row>
    <row r="3" spans="1:73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10"/>
      <c r="BS3" s="7" t="s">
        <v>4</v>
      </c>
      <c r="BT3" s="7" t="s">
        <v>6</v>
      </c>
    </row>
    <row r="4" spans="1:73" ht="37.5" customHeight="1" x14ac:dyDescent="0.3">
      <c r="B4" s="11"/>
      <c r="C4" s="249" t="s">
        <v>7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12"/>
      <c r="AS4" s="13" t="s">
        <v>8</v>
      </c>
      <c r="BE4" s="14" t="s">
        <v>9</v>
      </c>
      <c r="BS4" s="7" t="s">
        <v>10</v>
      </c>
    </row>
    <row r="5" spans="1:73" ht="15" customHeight="1" x14ac:dyDescent="0.3">
      <c r="B5" s="11"/>
      <c r="D5" s="15" t="s">
        <v>11</v>
      </c>
      <c r="K5" s="253" t="s">
        <v>160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Q5" s="12"/>
      <c r="BE5" s="263" t="s">
        <v>143</v>
      </c>
      <c r="BS5" s="7" t="s">
        <v>4</v>
      </c>
    </row>
    <row r="6" spans="1:73" ht="37.5" customHeight="1" x14ac:dyDescent="0.3">
      <c r="B6" s="11"/>
      <c r="D6" s="17" t="s">
        <v>12</v>
      </c>
      <c r="K6" s="264" t="s">
        <v>253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Q6" s="12"/>
      <c r="BE6" s="248"/>
      <c r="BS6" s="7" t="s">
        <v>4</v>
      </c>
    </row>
    <row r="7" spans="1:73" ht="15" customHeight="1" x14ac:dyDescent="0.3">
      <c r="B7" s="11"/>
      <c r="D7" s="18" t="s">
        <v>13</v>
      </c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18" t="s">
        <v>14</v>
      </c>
      <c r="AN7" s="16"/>
      <c r="AQ7" s="12"/>
      <c r="BE7" s="248"/>
      <c r="BS7" s="7" t="s">
        <v>4</v>
      </c>
    </row>
    <row r="8" spans="1:73" ht="15" customHeight="1" x14ac:dyDescent="0.3">
      <c r="B8" s="11"/>
      <c r="D8" s="18" t="s">
        <v>15</v>
      </c>
      <c r="K8" s="253" t="s">
        <v>254</v>
      </c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18" t="s">
        <v>16</v>
      </c>
      <c r="AN8" s="130">
        <v>44105</v>
      </c>
      <c r="AQ8" s="12"/>
      <c r="BE8" s="248"/>
      <c r="BS8" s="7" t="s">
        <v>4</v>
      </c>
    </row>
    <row r="9" spans="1:73" ht="15" customHeight="1" x14ac:dyDescent="0.3">
      <c r="B9" s="11"/>
      <c r="AQ9" s="12"/>
      <c r="BE9" s="248"/>
      <c r="BS9" s="7" t="s">
        <v>4</v>
      </c>
    </row>
    <row r="10" spans="1:73" ht="15" customHeight="1" x14ac:dyDescent="0.3">
      <c r="B10" s="11"/>
      <c r="D10" s="18" t="s">
        <v>17</v>
      </c>
      <c r="AK10" s="18" t="s">
        <v>18</v>
      </c>
      <c r="AN10" s="16">
        <v>60193531</v>
      </c>
      <c r="AQ10" s="12"/>
      <c r="BE10" s="248"/>
      <c r="BS10" s="7" t="s">
        <v>4</v>
      </c>
    </row>
    <row r="11" spans="1:73" ht="19.5" customHeight="1" x14ac:dyDescent="0.3">
      <c r="B11" s="11"/>
      <c r="E11" s="253" t="s">
        <v>214</v>
      </c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18" t="s">
        <v>19</v>
      </c>
      <c r="AN11" s="16" t="s">
        <v>215</v>
      </c>
      <c r="AQ11" s="12"/>
      <c r="BE11" s="248"/>
      <c r="BS11" s="7" t="s">
        <v>4</v>
      </c>
    </row>
    <row r="12" spans="1:73" ht="7.5" customHeight="1" x14ac:dyDescent="0.3">
      <c r="B12" s="11"/>
      <c r="AQ12" s="12"/>
      <c r="BE12" s="248"/>
      <c r="BS12" s="7" t="s">
        <v>4</v>
      </c>
    </row>
    <row r="13" spans="1:73" ht="15" customHeight="1" x14ac:dyDescent="0.3">
      <c r="B13" s="11"/>
      <c r="D13" s="18" t="s">
        <v>20</v>
      </c>
      <c r="AK13" s="18" t="s">
        <v>18</v>
      </c>
      <c r="AN13" s="95" t="s">
        <v>21</v>
      </c>
      <c r="AQ13" s="12"/>
      <c r="BE13" s="248"/>
      <c r="BS13" s="7" t="s">
        <v>4</v>
      </c>
    </row>
    <row r="14" spans="1:73" ht="15.75" customHeight="1" x14ac:dyDescent="0.3">
      <c r="B14" s="11"/>
      <c r="E14" s="250" t="s">
        <v>21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18" t="s">
        <v>19</v>
      </c>
      <c r="AN14" s="95" t="s">
        <v>21</v>
      </c>
      <c r="AQ14" s="12"/>
      <c r="BE14" s="248"/>
      <c r="BS14" s="7" t="s">
        <v>4</v>
      </c>
    </row>
    <row r="15" spans="1:73" ht="7.5" customHeight="1" x14ac:dyDescent="0.3">
      <c r="B15" s="11"/>
      <c r="AQ15" s="12"/>
      <c r="BE15" s="248"/>
      <c r="BS15" s="7" t="s">
        <v>2</v>
      </c>
    </row>
    <row r="16" spans="1:73" ht="15" customHeight="1" x14ac:dyDescent="0.3">
      <c r="B16" s="11"/>
      <c r="D16" s="18" t="s">
        <v>22</v>
      </c>
      <c r="AK16" s="18" t="s">
        <v>18</v>
      </c>
      <c r="AN16" s="195" t="s">
        <v>213</v>
      </c>
      <c r="AQ16" s="12"/>
      <c r="BE16" s="248"/>
      <c r="BS16" s="7" t="s">
        <v>2</v>
      </c>
    </row>
    <row r="17" spans="2:71" ht="19.5" customHeight="1" x14ac:dyDescent="0.3">
      <c r="B17" s="11"/>
      <c r="E17" s="253" t="s">
        <v>211</v>
      </c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18" t="s">
        <v>19</v>
      </c>
      <c r="AN17" s="16" t="s">
        <v>212</v>
      </c>
      <c r="AQ17" s="12"/>
      <c r="BE17" s="248"/>
      <c r="BS17" s="7" t="s">
        <v>2</v>
      </c>
    </row>
    <row r="18" spans="2:71" ht="7.5" customHeight="1" x14ac:dyDescent="0.3">
      <c r="B18" s="11"/>
      <c r="AQ18" s="12"/>
      <c r="BE18" s="248"/>
      <c r="BS18" s="7" t="s">
        <v>4</v>
      </c>
    </row>
    <row r="19" spans="2:71" ht="15" customHeight="1" x14ac:dyDescent="0.3">
      <c r="B19" s="11"/>
      <c r="D19" s="18" t="s">
        <v>23</v>
      </c>
      <c r="AK19" s="18" t="s">
        <v>18</v>
      </c>
      <c r="AN19" s="195" t="s">
        <v>213</v>
      </c>
      <c r="AQ19" s="12"/>
      <c r="BE19" s="248"/>
      <c r="BS19" s="7" t="s">
        <v>4</v>
      </c>
    </row>
    <row r="20" spans="2:71" ht="19.5" customHeight="1" x14ac:dyDescent="0.3">
      <c r="B20" s="11"/>
      <c r="E20" s="253" t="s">
        <v>211</v>
      </c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18" t="s">
        <v>19</v>
      </c>
      <c r="AN20" s="193" t="s">
        <v>212</v>
      </c>
      <c r="AQ20" s="12"/>
      <c r="BE20" s="248"/>
    </row>
    <row r="21" spans="2:71" ht="7.5" customHeight="1" x14ac:dyDescent="0.3">
      <c r="B21" s="11"/>
      <c r="AQ21" s="12"/>
      <c r="BE21" s="248"/>
    </row>
    <row r="22" spans="2:71" ht="7.5" customHeight="1" x14ac:dyDescent="0.3">
      <c r="B22" s="1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Q22" s="12"/>
      <c r="BE22" s="248"/>
    </row>
    <row r="23" spans="2:71" ht="15" customHeight="1" x14ac:dyDescent="0.3">
      <c r="B23" s="11"/>
      <c r="D23" s="20" t="s">
        <v>24</v>
      </c>
      <c r="AK23" s="252">
        <f>ROUND($AG$87,2)</f>
        <v>0</v>
      </c>
      <c r="AL23" s="248"/>
      <c r="AM23" s="248"/>
      <c r="AN23" s="248"/>
      <c r="AO23" s="248"/>
      <c r="AQ23" s="12"/>
      <c r="BE23" s="248"/>
    </row>
    <row r="24" spans="2:71" ht="15" customHeight="1" x14ac:dyDescent="0.3">
      <c r="B24" s="11"/>
      <c r="D24" s="20" t="s">
        <v>25</v>
      </c>
      <c r="AK24" s="252">
        <f>ROUND($AG$94,2)</f>
        <v>0</v>
      </c>
      <c r="AL24" s="248"/>
      <c r="AM24" s="248"/>
      <c r="AN24" s="248"/>
      <c r="AO24" s="248"/>
      <c r="AQ24" s="12"/>
      <c r="BE24" s="248"/>
    </row>
    <row r="25" spans="2:71" s="7" customFormat="1" ht="7.5" customHeight="1" x14ac:dyDescent="0.3">
      <c r="B25" s="21"/>
      <c r="AQ25" s="22"/>
      <c r="BE25" s="254"/>
    </row>
    <row r="26" spans="2:71" s="7" customFormat="1" ht="27" customHeight="1" x14ac:dyDescent="0.3">
      <c r="B26" s="21"/>
      <c r="D26" s="23" t="s">
        <v>26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3">
        <f>ROUND($AK$23+$AK$24,2)</f>
        <v>0</v>
      </c>
      <c r="AL26" s="244"/>
      <c r="AM26" s="244"/>
      <c r="AN26" s="244"/>
      <c r="AO26" s="244"/>
      <c r="AQ26" s="22"/>
      <c r="BE26" s="254"/>
    </row>
    <row r="27" spans="2:71" s="7" customFormat="1" ht="7.5" customHeight="1" x14ac:dyDescent="0.3">
      <c r="B27" s="21"/>
      <c r="AQ27" s="22"/>
      <c r="BE27" s="254"/>
    </row>
    <row r="28" spans="2:71" s="7" customFormat="1" ht="15" customHeight="1" x14ac:dyDescent="0.3">
      <c r="B28" s="25"/>
      <c r="D28" s="26" t="s">
        <v>27</v>
      </c>
      <c r="F28" s="26" t="s">
        <v>28</v>
      </c>
      <c r="L28" s="255">
        <v>0.21</v>
      </c>
      <c r="M28" s="246"/>
      <c r="N28" s="246"/>
      <c r="O28" s="246"/>
      <c r="T28" s="28" t="s">
        <v>29</v>
      </c>
      <c r="W28" s="245">
        <f>AK26</f>
        <v>0</v>
      </c>
      <c r="X28" s="246"/>
      <c r="Y28" s="246"/>
      <c r="Z28" s="246"/>
      <c r="AA28" s="246"/>
      <c r="AB28" s="246"/>
      <c r="AC28" s="246"/>
      <c r="AD28" s="246"/>
      <c r="AE28" s="246"/>
      <c r="AK28" s="245">
        <f>L28*W28</f>
        <v>0</v>
      </c>
      <c r="AL28" s="246"/>
      <c r="AM28" s="246"/>
      <c r="AN28" s="246"/>
      <c r="AO28" s="246"/>
      <c r="AQ28" s="29"/>
      <c r="BE28" s="246"/>
    </row>
    <row r="29" spans="2:71" s="7" customFormat="1" ht="15" customHeight="1" x14ac:dyDescent="0.3">
      <c r="B29" s="25"/>
      <c r="F29" s="26" t="s">
        <v>30</v>
      </c>
      <c r="L29" s="255">
        <v>0.15</v>
      </c>
      <c r="M29" s="246"/>
      <c r="N29" s="246"/>
      <c r="O29" s="246"/>
      <c r="T29" s="28" t="s">
        <v>29</v>
      </c>
      <c r="W29" s="245">
        <v>0</v>
      </c>
      <c r="X29" s="246"/>
      <c r="Y29" s="246"/>
      <c r="Z29" s="246"/>
      <c r="AA29" s="246"/>
      <c r="AB29" s="246"/>
      <c r="AC29" s="246"/>
      <c r="AD29" s="246"/>
      <c r="AE29" s="246"/>
      <c r="AK29" s="245">
        <v>0</v>
      </c>
      <c r="AL29" s="246"/>
      <c r="AM29" s="246"/>
      <c r="AN29" s="246"/>
      <c r="AO29" s="246"/>
      <c r="AQ29" s="29"/>
      <c r="BE29" s="246"/>
    </row>
    <row r="30" spans="2:71" s="7" customFormat="1" ht="15" hidden="1" customHeight="1" x14ac:dyDescent="0.3">
      <c r="B30" s="25"/>
      <c r="F30" s="26" t="s">
        <v>31</v>
      </c>
      <c r="L30" s="255">
        <v>0.21</v>
      </c>
      <c r="M30" s="246"/>
      <c r="N30" s="246"/>
      <c r="O30" s="246"/>
      <c r="T30" s="28" t="s">
        <v>29</v>
      </c>
      <c r="W30" s="245" t="e">
        <f>ROUND($BQ$87+SUM($CF$100:$CF$104),2)</f>
        <v>#REF!</v>
      </c>
      <c r="X30" s="246"/>
      <c r="Y30" s="246"/>
      <c r="Z30" s="246"/>
      <c r="AA30" s="246"/>
      <c r="AB30" s="246"/>
      <c r="AC30" s="246"/>
      <c r="AD30" s="246"/>
      <c r="AE30" s="246"/>
      <c r="AK30" s="245">
        <v>0</v>
      </c>
      <c r="AL30" s="246"/>
      <c r="AM30" s="246"/>
      <c r="AN30" s="246"/>
      <c r="AO30" s="246"/>
      <c r="AQ30" s="29"/>
      <c r="BE30" s="246"/>
    </row>
    <row r="31" spans="2:71" s="7" customFormat="1" ht="15" hidden="1" customHeight="1" x14ac:dyDescent="0.3">
      <c r="B31" s="25"/>
      <c r="F31" s="26" t="s">
        <v>32</v>
      </c>
      <c r="L31" s="255">
        <v>0.15</v>
      </c>
      <c r="M31" s="246"/>
      <c r="N31" s="246"/>
      <c r="O31" s="246"/>
      <c r="T31" s="28" t="s">
        <v>29</v>
      </c>
      <c r="W31" s="245" t="e">
        <f>ROUND($BR$87+SUM($CG$100:$CG$104),2)</f>
        <v>#REF!</v>
      </c>
      <c r="X31" s="246"/>
      <c r="Y31" s="246"/>
      <c r="Z31" s="246"/>
      <c r="AA31" s="246"/>
      <c r="AB31" s="246"/>
      <c r="AC31" s="246"/>
      <c r="AD31" s="246"/>
      <c r="AE31" s="246"/>
      <c r="AK31" s="245">
        <v>0</v>
      </c>
      <c r="AL31" s="246"/>
      <c r="AM31" s="246"/>
      <c r="AN31" s="246"/>
      <c r="AO31" s="246"/>
      <c r="AQ31" s="29"/>
      <c r="BE31" s="246"/>
    </row>
    <row r="32" spans="2:71" s="7" customFormat="1" ht="15" hidden="1" customHeight="1" x14ac:dyDescent="0.3">
      <c r="B32" s="25"/>
      <c r="F32" s="26" t="s">
        <v>33</v>
      </c>
      <c r="L32" s="255">
        <v>0</v>
      </c>
      <c r="M32" s="246"/>
      <c r="N32" s="246"/>
      <c r="O32" s="246"/>
      <c r="T32" s="28" t="s">
        <v>29</v>
      </c>
      <c r="W32" s="245" t="e">
        <f>ROUND($BS$87+SUM($CH$100:$CH$104),2)</f>
        <v>#REF!</v>
      </c>
      <c r="X32" s="246"/>
      <c r="Y32" s="246"/>
      <c r="Z32" s="246"/>
      <c r="AA32" s="246"/>
      <c r="AB32" s="246"/>
      <c r="AC32" s="246"/>
      <c r="AD32" s="246"/>
      <c r="AE32" s="246"/>
      <c r="AK32" s="245">
        <v>0</v>
      </c>
      <c r="AL32" s="246"/>
      <c r="AM32" s="246"/>
      <c r="AN32" s="246"/>
      <c r="AO32" s="246"/>
      <c r="AQ32" s="29"/>
      <c r="BE32" s="246"/>
    </row>
    <row r="33" spans="2:57" s="7" customFormat="1" ht="7.5" customHeight="1" x14ac:dyDescent="0.3">
      <c r="B33" s="21"/>
      <c r="AQ33" s="22"/>
      <c r="BE33" s="254"/>
    </row>
    <row r="34" spans="2:57" s="7" customFormat="1" ht="27" customHeight="1" x14ac:dyDescent="0.3">
      <c r="B34" s="21"/>
      <c r="C34" s="30"/>
      <c r="D34" s="31" t="s">
        <v>34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 t="s">
        <v>35</v>
      </c>
      <c r="U34" s="32"/>
      <c r="V34" s="32"/>
      <c r="W34" s="32"/>
      <c r="X34" s="265" t="s">
        <v>36</v>
      </c>
      <c r="Y34" s="266"/>
      <c r="Z34" s="266"/>
      <c r="AA34" s="266"/>
      <c r="AB34" s="266"/>
      <c r="AC34" s="32"/>
      <c r="AD34" s="32"/>
      <c r="AE34" s="32"/>
      <c r="AF34" s="32"/>
      <c r="AG34" s="32"/>
      <c r="AH34" s="32"/>
      <c r="AI34" s="32"/>
      <c r="AJ34" s="32"/>
      <c r="AK34" s="267">
        <f>ROUND(SUM($AK$26:$AK$32),2)</f>
        <v>0</v>
      </c>
      <c r="AL34" s="266"/>
      <c r="AM34" s="266"/>
      <c r="AN34" s="266"/>
      <c r="AO34" s="268"/>
      <c r="AP34" s="30"/>
      <c r="AQ34" s="22"/>
      <c r="BE34" s="254"/>
    </row>
    <row r="35" spans="2:57" s="7" customFormat="1" ht="15" customHeight="1" x14ac:dyDescent="0.3">
      <c r="B35" s="21"/>
      <c r="AQ35" s="22"/>
    </row>
    <row r="36" spans="2:57" ht="14.25" customHeight="1" x14ac:dyDescent="0.3">
      <c r="B36" s="11"/>
      <c r="AQ36" s="12"/>
    </row>
    <row r="37" spans="2:57" ht="14.25" customHeight="1" x14ac:dyDescent="0.3">
      <c r="B37" s="11"/>
      <c r="AQ37" s="12"/>
    </row>
    <row r="38" spans="2:57" ht="14.25" customHeight="1" x14ac:dyDescent="0.3">
      <c r="B38" s="11"/>
      <c r="AQ38" s="12"/>
    </row>
    <row r="39" spans="2:57" ht="14.25" customHeight="1" x14ac:dyDescent="0.3">
      <c r="B39" s="11"/>
      <c r="AQ39" s="12"/>
    </row>
    <row r="40" spans="2:57" ht="14.25" customHeight="1" x14ac:dyDescent="0.3">
      <c r="B40" s="11"/>
      <c r="AQ40" s="12"/>
    </row>
    <row r="41" spans="2:57" ht="14.25" customHeight="1" x14ac:dyDescent="0.3">
      <c r="B41" s="11"/>
      <c r="AQ41" s="12"/>
    </row>
    <row r="42" spans="2:57" ht="14.25" customHeight="1" x14ac:dyDescent="0.3">
      <c r="B42" s="11"/>
      <c r="AQ42" s="12"/>
    </row>
    <row r="43" spans="2:57" ht="14.25" customHeight="1" x14ac:dyDescent="0.3">
      <c r="B43" s="11"/>
      <c r="AQ43" s="12"/>
    </row>
    <row r="44" spans="2:57" ht="14.25" customHeight="1" x14ac:dyDescent="0.3">
      <c r="B44" s="11"/>
      <c r="AQ44" s="12"/>
    </row>
    <row r="45" spans="2:57" ht="14.25" customHeight="1" x14ac:dyDescent="0.3">
      <c r="B45" s="11"/>
      <c r="AQ45" s="12"/>
    </row>
    <row r="46" spans="2:57" ht="14.25" customHeight="1" x14ac:dyDescent="0.3">
      <c r="B46" s="11"/>
      <c r="AQ46" s="12"/>
    </row>
    <row r="47" spans="2:57" ht="14.25" customHeight="1" x14ac:dyDescent="0.3">
      <c r="B47" s="11"/>
      <c r="AQ47" s="12"/>
    </row>
    <row r="48" spans="2:57" ht="14.25" customHeight="1" x14ac:dyDescent="0.3">
      <c r="B48" s="11"/>
      <c r="AQ48" s="12"/>
    </row>
    <row r="49" spans="2:43" s="7" customFormat="1" ht="15.75" customHeight="1" x14ac:dyDescent="0.3">
      <c r="B49" s="21"/>
      <c r="D49" s="34" t="s">
        <v>37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  <c r="AC49" s="34" t="s">
        <v>38</v>
      </c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6"/>
      <c r="AQ49" s="22"/>
    </row>
    <row r="50" spans="2:43" ht="14.25" customHeight="1" x14ac:dyDescent="0.3">
      <c r="B50" s="11"/>
      <c r="D50" s="37"/>
      <c r="Z50" s="38"/>
      <c r="AC50" s="37"/>
      <c r="AO50" s="38"/>
      <c r="AQ50" s="12"/>
    </row>
    <row r="51" spans="2:43" ht="14.25" customHeight="1" x14ac:dyDescent="0.3">
      <c r="B51" s="11"/>
      <c r="D51" s="37"/>
      <c r="Z51" s="38"/>
      <c r="AC51" s="37"/>
      <c r="AO51" s="38"/>
      <c r="AQ51" s="12"/>
    </row>
    <row r="52" spans="2:43" ht="14.25" customHeight="1" x14ac:dyDescent="0.3">
      <c r="B52" s="11"/>
      <c r="D52" s="37"/>
      <c r="Z52" s="38"/>
      <c r="AC52" s="37"/>
      <c r="AO52" s="38"/>
      <c r="AQ52" s="12"/>
    </row>
    <row r="53" spans="2:43" ht="14.25" customHeight="1" x14ac:dyDescent="0.3">
      <c r="B53" s="11"/>
      <c r="D53" s="37"/>
      <c r="Z53" s="38"/>
      <c r="AC53" s="37"/>
      <c r="AO53" s="38"/>
      <c r="AQ53" s="12"/>
    </row>
    <row r="54" spans="2:43" ht="14.25" customHeight="1" x14ac:dyDescent="0.3">
      <c r="B54" s="11"/>
      <c r="D54" s="37"/>
      <c r="Z54" s="38"/>
      <c r="AC54" s="37"/>
      <c r="AO54" s="38"/>
      <c r="AQ54" s="12"/>
    </row>
    <row r="55" spans="2:43" ht="14.25" customHeight="1" x14ac:dyDescent="0.3">
      <c r="B55" s="11"/>
      <c r="D55" s="37"/>
      <c r="Z55" s="38"/>
      <c r="AC55" s="37"/>
      <c r="AO55" s="38"/>
      <c r="AQ55" s="12"/>
    </row>
    <row r="56" spans="2:43" ht="14.25" customHeight="1" x14ac:dyDescent="0.3">
      <c r="B56" s="11"/>
      <c r="D56" s="37"/>
      <c r="Z56" s="38"/>
      <c r="AC56" s="37"/>
      <c r="AO56" s="38"/>
      <c r="AQ56" s="12"/>
    </row>
    <row r="57" spans="2:43" ht="14.25" customHeight="1" x14ac:dyDescent="0.3">
      <c r="B57" s="11"/>
      <c r="D57" s="37"/>
      <c r="Z57" s="38"/>
      <c r="AC57" s="37"/>
      <c r="AO57" s="38"/>
      <c r="AQ57" s="12"/>
    </row>
    <row r="58" spans="2:43" s="7" customFormat="1" ht="15.75" customHeight="1" x14ac:dyDescent="0.3">
      <c r="B58" s="21"/>
      <c r="D58" s="39" t="s">
        <v>39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1" t="s">
        <v>40</v>
      </c>
      <c r="S58" s="40"/>
      <c r="T58" s="40"/>
      <c r="U58" s="40"/>
      <c r="V58" s="40"/>
      <c r="W58" s="40"/>
      <c r="X58" s="40"/>
      <c r="Y58" s="40"/>
      <c r="Z58" s="42"/>
      <c r="AC58" s="39" t="s">
        <v>39</v>
      </c>
      <c r="AD58" s="40"/>
      <c r="AE58" s="40"/>
      <c r="AF58" s="40"/>
      <c r="AG58" s="40"/>
      <c r="AH58" s="40"/>
      <c r="AI58" s="40"/>
      <c r="AJ58" s="40"/>
      <c r="AK58" s="40"/>
      <c r="AL58" s="40"/>
      <c r="AM58" s="41" t="s">
        <v>40</v>
      </c>
      <c r="AN58" s="40"/>
      <c r="AO58" s="42"/>
      <c r="AQ58" s="22"/>
    </row>
    <row r="59" spans="2:43" ht="14.25" customHeight="1" x14ac:dyDescent="0.3">
      <c r="B59" s="11"/>
      <c r="AQ59" s="12"/>
    </row>
    <row r="60" spans="2:43" s="7" customFormat="1" ht="15.75" customHeight="1" x14ac:dyDescent="0.3">
      <c r="B60" s="21"/>
      <c r="D60" s="34" t="s">
        <v>41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6"/>
      <c r="AC60" s="34" t="s">
        <v>42</v>
      </c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6"/>
      <c r="AQ60" s="22"/>
    </row>
    <row r="61" spans="2:43" ht="14.25" customHeight="1" x14ac:dyDescent="0.3">
      <c r="B61" s="11"/>
      <c r="D61" s="37"/>
      <c r="Z61" s="38"/>
      <c r="AC61" s="37"/>
      <c r="AO61" s="38"/>
      <c r="AQ61" s="12"/>
    </row>
    <row r="62" spans="2:43" ht="14.25" customHeight="1" x14ac:dyDescent="0.3">
      <c r="B62" s="11"/>
      <c r="D62" s="37"/>
      <c r="Z62" s="38"/>
      <c r="AC62" s="37"/>
      <c r="AO62" s="38"/>
      <c r="AQ62" s="12"/>
    </row>
    <row r="63" spans="2:43" ht="14.25" customHeight="1" x14ac:dyDescent="0.3">
      <c r="B63" s="11"/>
      <c r="D63" s="37"/>
      <c r="Z63" s="38"/>
      <c r="AC63" s="37"/>
      <c r="AO63" s="38"/>
      <c r="AQ63" s="12"/>
    </row>
    <row r="64" spans="2:43" ht="14.25" customHeight="1" x14ac:dyDescent="0.3">
      <c r="B64" s="11"/>
      <c r="D64" s="37"/>
      <c r="Z64" s="38"/>
      <c r="AC64" s="37"/>
      <c r="AO64" s="38"/>
      <c r="AQ64" s="12"/>
    </row>
    <row r="65" spans="2:43" ht="14.25" customHeight="1" x14ac:dyDescent="0.3">
      <c r="B65" s="11"/>
      <c r="D65" s="37"/>
      <c r="Z65" s="38"/>
      <c r="AC65" s="37"/>
      <c r="AO65" s="38"/>
      <c r="AQ65" s="12"/>
    </row>
    <row r="66" spans="2:43" ht="14.25" customHeight="1" x14ac:dyDescent="0.3">
      <c r="B66" s="11"/>
      <c r="D66" s="37"/>
      <c r="Z66" s="38"/>
      <c r="AC66" s="37"/>
      <c r="AO66" s="38"/>
      <c r="AQ66" s="12"/>
    </row>
    <row r="67" spans="2:43" ht="14.25" customHeight="1" x14ac:dyDescent="0.3">
      <c r="B67" s="11"/>
      <c r="D67" s="37"/>
      <c r="Z67" s="38"/>
      <c r="AC67" s="37"/>
      <c r="AO67" s="38"/>
      <c r="AQ67" s="12"/>
    </row>
    <row r="68" spans="2:43" ht="14.25" customHeight="1" x14ac:dyDescent="0.3">
      <c r="B68" s="11"/>
      <c r="D68" s="37"/>
      <c r="Z68" s="38"/>
      <c r="AC68" s="37"/>
      <c r="AO68" s="38"/>
      <c r="AQ68" s="12"/>
    </row>
    <row r="69" spans="2:43" s="7" customFormat="1" ht="15.75" customHeight="1" x14ac:dyDescent="0.3">
      <c r="B69" s="21"/>
      <c r="D69" s="39" t="s">
        <v>39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1" t="s">
        <v>40</v>
      </c>
      <c r="S69" s="40"/>
      <c r="T69" s="40"/>
      <c r="U69" s="40"/>
      <c r="V69" s="40"/>
      <c r="W69" s="40"/>
      <c r="X69" s="40"/>
      <c r="Y69" s="40"/>
      <c r="Z69" s="42"/>
      <c r="AC69" s="39" t="s">
        <v>39</v>
      </c>
      <c r="AD69" s="40"/>
      <c r="AE69" s="40"/>
      <c r="AF69" s="40"/>
      <c r="AG69" s="40"/>
      <c r="AH69" s="40"/>
      <c r="AI69" s="40"/>
      <c r="AJ69" s="40"/>
      <c r="AK69" s="40"/>
      <c r="AL69" s="40"/>
      <c r="AM69" s="41" t="s">
        <v>40</v>
      </c>
      <c r="AN69" s="40"/>
      <c r="AO69" s="42"/>
      <c r="AQ69" s="22"/>
    </row>
    <row r="70" spans="2:43" s="7" customFormat="1" ht="7.5" customHeight="1" x14ac:dyDescent="0.3">
      <c r="B70" s="21"/>
      <c r="AQ70" s="22"/>
    </row>
    <row r="71" spans="2:43" s="7" customFormat="1" ht="7.5" customHeight="1" x14ac:dyDescent="0.3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5"/>
    </row>
    <row r="75" spans="2:43" s="7" customFormat="1" ht="7.5" customHeight="1" x14ac:dyDescent="0.3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8"/>
    </row>
    <row r="76" spans="2:43" s="7" customFormat="1" ht="37.5" customHeight="1" x14ac:dyDescent="0.3">
      <c r="B76" s="21"/>
      <c r="C76" s="249" t="s">
        <v>43</v>
      </c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2"/>
    </row>
    <row r="77" spans="2:43" s="16" customFormat="1" ht="15" customHeight="1" x14ac:dyDescent="0.3">
      <c r="B77" s="49"/>
      <c r="C77" s="18" t="s">
        <v>11</v>
      </c>
      <c r="L77" s="16" t="str">
        <f>$K$5</f>
        <v>-</v>
      </c>
      <c r="AQ77" s="50"/>
    </row>
    <row r="78" spans="2:43" s="51" customFormat="1" ht="37.5" customHeight="1" x14ac:dyDescent="0.3">
      <c r="B78" s="52"/>
      <c r="C78" s="51" t="s">
        <v>12</v>
      </c>
      <c r="L78" s="269" t="str">
        <f>$K$6</f>
        <v>Instalace FVE s akumulací pro vlastní spotřebu elektřiny ve společnosti ČEPRO, a.s. v areálu Mstětice</v>
      </c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Q78" s="53"/>
    </row>
    <row r="79" spans="2:43" s="7" customFormat="1" ht="7.5" customHeight="1" x14ac:dyDescent="0.3">
      <c r="B79" s="21"/>
      <c r="AQ79" s="22"/>
    </row>
    <row r="80" spans="2:43" s="7" customFormat="1" ht="28.5" customHeight="1" x14ac:dyDescent="0.3">
      <c r="B80" s="21"/>
      <c r="C80" s="18" t="s">
        <v>15</v>
      </c>
      <c r="L80" s="274" t="str">
        <f>IF($K$8="","",$K$8)</f>
        <v>Areál skladu ČEPRO, a.s.; Mstětice 3, 250 91 Zeleneč</v>
      </c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I80" s="18" t="s">
        <v>16</v>
      </c>
      <c r="AM80" s="270">
        <f>IF($AN$8="","",$AN$8)</f>
        <v>44105</v>
      </c>
      <c r="AN80" s="270"/>
      <c r="AQ80" s="22"/>
    </row>
    <row r="81" spans="1:90" s="7" customFormat="1" ht="7.5" customHeight="1" x14ac:dyDescent="0.3">
      <c r="B81" s="21"/>
      <c r="AQ81" s="22"/>
    </row>
    <row r="82" spans="1:90" s="7" customFormat="1" ht="18.75" customHeight="1" x14ac:dyDescent="0.3">
      <c r="B82" s="21"/>
      <c r="C82" s="18" t="s">
        <v>17</v>
      </c>
      <c r="L82" s="16" t="str">
        <f>IF($E$11="","",$E$11)</f>
        <v>ČEPRO, a.s., Dělnická 213/12, Holešovice, 170 00 Praha 7</v>
      </c>
      <c r="AI82" s="18" t="s">
        <v>22</v>
      </c>
      <c r="AM82" s="253" t="str">
        <f>IF($E$17="","",$E$17)</f>
        <v>YOUNG4ENERGY s.r.o.</v>
      </c>
      <c r="AN82" s="254"/>
      <c r="AO82" s="254"/>
      <c r="AP82" s="254"/>
      <c r="AQ82" s="22"/>
      <c r="BH82" s="257" t="s">
        <v>44</v>
      </c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36"/>
    </row>
    <row r="83" spans="1:90" s="7" customFormat="1" ht="15.75" customHeight="1" x14ac:dyDescent="0.3">
      <c r="B83" s="21"/>
      <c r="C83" s="18" t="s">
        <v>20</v>
      </c>
      <c r="L83" s="16" t="str">
        <f>IF($E$14="Vyplň údaj","",$E$14)</f>
        <v/>
      </c>
      <c r="AI83" s="18" t="s">
        <v>23</v>
      </c>
      <c r="AM83" s="253" t="str">
        <f>IF($E$20="","",$E$20)</f>
        <v>YOUNG4ENERGY s.r.o.</v>
      </c>
      <c r="AN83" s="254"/>
      <c r="AO83" s="254"/>
      <c r="AP83" s="254"/>
      <c r="AQ83" s="22"/>
      <c r="BH83" s="259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54"/>
    </row>
    <row r="84" spans="1:90" s="7" customFormat="1" ht="12" customHeight="1" x14ac:dyDescent="0.3">
      <c r="B84" s="21"/>
      <c r="AQ84" s="22"/>
      <c r="BH84" s="261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54"/>
    </row>
    <row r="85" spans="1:90" s="7" customFormat="1" ht="30" customHeight="1" x14ac:dyDescent="0.3">
      <c r="B85" s="21"/>
      <c r="C85" s="283" t="s">
        <v>45</v>
      </c>
      <c r="D85" s="266"/>
      <c r="E85" s="266"/>
      <c r="F85" s="266"/>
      <c r="G85" s="266"/>
      <c r="H85" s="32"/>
      <c r="I85" s="275" t="s">
        <v>46</v>
      </c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75" t="s">
        <v>47</v>
      </c>
      <c r="AH85" s="266"/>
      <c r="AI85" s="266"/>
      <c r="AJ85" s="266"/>
      <c r="AK85" s="266"/>
      <c r="AL85" s="266"/>
      <c r="AM85" s="266"/>
      <c r="AN85" s="275" t="s">
        <v>48</v>
      </c>
      <c r="AO85" s="266"/>
      <c r="AP85" s="268"/>
      <c r="AQ85" s="22"/>
      <c r="BH85" s="55" t="s">
        <v>49</v>
      </c>
      <c r="BI85" s="56" t="s">
        <v>50</v>
      </c>
      <c r="BJ85" s="56" t="s">
        <v>51</v>
      </c>
      <c r="BK85" s="56" t="s">
        <v>52</v>
      </c>
      <c r="BL85" s="56" t="s">
        <v>53</v>
      </c>
      <c r="BM85" s="56" t="s">
        <v>54</v>
      </c>
      <c r="BN85" s="56" t="s">
        <v>55</v>
      </c>
      <c r="BO85" s="56" t="s">
        <v>56</v>
      </c>
      <c r="BP85" s="56" t="s">
        <v>57</v>
      </c>
      <c r="BQ85" s="56" t="s">
        <v>58</v>
      </c>
      <c r="BR85" s="56" t="s">
        <v>59</v>
      </c>
      <c r="BS85" s="57" t="s">
        <v>60</v>
      </c>
    </row>
    <row r="86" spans="1:90" s="7" customFormat="1" ht="12" customHeight="1" x14ac:dyDescent="0.3">
      <c r="B86" s="21"/>
      <c r="AQ86" s="22"/>
      <c r="BE86" s="186"/>
      <c r="BH86" s="58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6"/>
    </row>
    <row r="87" spans="1:90" s="51" customFormat="1" ht="33" customHeight="1" x14ac:dyDescent="0.3">
      <c r="B87" s="52"/>
      <c r="C87" s="59" t="s">
        <v>61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276">
        <f>ROUND($AL$88+$AL$89+AL90+AL91+AL92+AL93,2)</f>
        <v>0</v>
      </c>
      <c r="AH87" s="277"/>
      <c r="AI87" s="277"/>
      <c r="AJ87" s="277"/>
      <c r="AK87" s="277"/>
      <c r="AL87" s="277"/>
      <c r="AM87" s="277"/>
      <c r="AN87" s="276">
        <f>ROUND(SUM(AN88:AP93),2)</f>
        <v>0</v>
      </c>
      <c r="AO87" s="277"/>
      <c r="AP87" s="277"/>
      <c r="AQ87" s="53"/>
      <c r="BE87" s="185"/>
      <c r="BH87" s="60" t="e">
        <f>ROUND($BH$88+#REF!+#REF!+#REF!+$BH$95,2)</f>
        <v>#REF!</v>
      </c>
      <c r="BI87" s="61" t="e">
        <f>ROUND(SUM($BK$87:$BL$87),2)</f>
        <v>#REF!</v>
      </c>
      <c r="BJ87" s="62" t="e">
        <f>ROUND($BJ$88+#REF!+#REF!+#REF!+$BJ$95,5)</f>
        <v>#REF!</v>
      </c>
      <c r="BK87" s="61" t="e">
        <f>ROUND($BO$87*$L$28,2)</f>
        <v>#REF!</v>
      </c>
      <c r="BL87" s="61" t="e">
        <f>ROUND($BP$87*$L$29,2)</f>
        <v>#REF!</v>
      </c>
      <c r="BM87" s="61" t="e">
        <f>ROUND($BQ$87*$L$28,2)</f>
        <v>#REF!</v>
      </c>
      <c r="BN87" s="61" t="e">
        <f>ROUND($BR$87*$L$29,2)</f>
        <v>#REF!</v>
      </c>
      <c r="BO87" s="61" t="e">
        <f>ROUND($BO$88+#REF!+#REF!+#REF!+$BO$95,2)</f>
        <v>#REF!</v>
      </c>
      <c r="BP87" s="61" t="e">
        <f>ROUND($BP$88+#REF!+#REF!+#REF!+$BP$95,2)</f>
        <v>#REF!</v>
      </c>
      <c r="BQ87" s="61" t="e">
        <f>ROUND($BQ$88+#REF!+#REF!+#REF!+$BQ$95,2)</f>
        <v>#REF!</v>
      </c>
      <c r="BR87" s="61" t="e">
        <f>ROUND($BR$88+#REF!+#REF!+#REF!+$BR$95,2)</f>
        <v>#REF!</v>
      </c>
      <c r="BS87" s="63" t="e">
        <f>ROUND($BS$88+#REF!+#REF!+#REF!+$BS$95,2)</f>
        <v>#REF!</v>
      </c>
      <c r="BT87" s="51" t="s">
        <v>63</v>
      </c>
      <c r="BU87" s="64" t="s">
        <v>64</v>
      </c>
      <c r="BV87" s="51" t="s">
        <v>65</v>
      </c>
      <c r="BW87" s="51" t="s">
        <v>66</v>
      </c>
      <c r="BX87" s="51" t="s">
        <v>67</v>
      </c>
    </row>
    <row r="88" spans="1:90" s="65" customFormat="1" ht="39.950000000000003" customHeight="1" x14ac:dyDescent="0.3">
      <c r="A88" s="151" t="s">
        <v>115</v>
      </c>
      <c r="B88" s="66"/>
      <c r="C88" s="67"/>
      <c r="D88" s="278" t="s">
        <v>252</v>
      </c>
      <c r="E88" s="279"/>
      <c r="F88" s="279"/>
      <c r="G88" s="279"/>
      <c r="H88" s="279"/>
      <c r="I88" s="67"/>
      <c r="J88" s="271" t="s">
        <v>260</v>
      </c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127"/>
      <c r="AL88" s="272">
        <f>'SO01'!$M$27</f>
        <v>0</v>
      </c>
      <c r="AM88" s="272"/>
      <c r="AN88" s="272">
        <f>'SO01'!L35</f>
        <v>0</v>
      </c>
      <c r="AO88" s="273"/>
      <c r="AP88" s="273"/>
      <c r="AQ88" s="68"/>
      <c r="BE88" s="184"/>
      <c r="BH88" s="69" t="e">
        <f>ROUND(SUM($BH$89:$BH$89),2)</f>
        <v>#REF!</v>
      </c>
      <c r="BI88" s="70">
        <f>ROUND(SUM($BK$88:$BL$88),2)</f>
        <v>0</v>
      </c>
      <c r="BJ88" s="71" t="e">
        <f>ROUND(SUM($BJ$89:$BJ$89),5)</f>
        <v>#REF!</v>
      </c>
      <c r="BK88" s="70">
        <f>ROUND($BO$88*$L$28,2)</f>
        <v>0</v>
      </c>
      <c r="BL88" s="70">
        <f>ROUND($BP$88*$L$29,2)</f>
        <v>0</v>
      </c>
      <c r="BM88" s="70">
        <f>ROUND($BQ$88*$L$28,2)</f>
        <v>0</v>
      </c>
      <c r="BN88" s="70">
        <f>ROUND($BR$88*$L$29,2)</f>
        <v>0</v>
      </c>
      <c r="BO88" s="70">
        <f>ROUND(SUM($BO$89:$BO$89),2)</f>
        <v>0</v>
      </c>
      <c r="BP88" s="70">
        <f>ROUND(SUM($BP$89:$BP$89),2)</f>
        <v>0</v>
      </c>
      <c r="BQ88" s="70">
        <f>ROUND(SUM($BQ$89:$BQ$89),2)</f>
        <v>0</v>
      </c>
      <c r="BR88" s="70">
        <f>ROUND(SUM($BR$89:$BR$89),2)</f>
        <v>0</v>
      </c>
      <c r="BS88" s="72">
        <f>ROUND(SUM($BS$89:$BS$89),2)</f>
        <v>0</v>
      </c>
      <c r="BT88" s="65" t="s">
        <v>68</v>
      </c>
      <c r="BU88" s="65" t="s">
        <v>64</v>
      </c>
      <c r="BV88" s="65" t="s">
        <v>65</v>
      </c>
      <c r="BW88" s="65" t="s">
        <v>69</v>
      </c>
      <c r="BX88" s="65" t="s">
        <v>66</v>
      </c>
    </row>
    <row r="89" spans="1:90" s="76" customFormat="1" ht="39.950000000000003" customHeight="1" x14ac:dyDescent="0.3">
      <c r="A89" s="151" t="s">
        <v>115</v>
      </c>
      <c r="B89" s="73"/>
      <c r="C89" s="74"/>
      <c r="D89" s="278" t="s">
        <v>132</v>
      </c>
      <c r="E89" s="279"/>
      <c r="F89" s="279"/>
      <c r="G89" s="279"/>
      <c r="H89" s="279"/>
      <c r="I89" s="67"/>
      <c r="J89" s="271" t="s">
        <v>259</v>
      </c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127"/>
      <c r="AL89" s="272">
        <f>'SO02'!$M$27</f>
        <v>0</v>
      </c>
      <c r="AM89" s="272"/>
      <c r="AN89" s="272">
        <f>'SO02'!L35</f>
        <v>0</v>
      </c>
      <c r="AO89" s="273"/>
      <c r="AP89" s="273"/>
      <c r="AQ89" s="75"/>
      <c r="BH89" s="77" t="e">
        <f>'SO01'!#REF!</f>
        <v>#REF!</v>
      </c>
      <c r="BI89" s="78">
        <f>ROUND(SUM($BK$89:$BL$89),2)</f>
        <v>0</v>
      </c>
      <c r="BJ89" s="79" t="e">
        <f>'SO01'!$W$110</f>
        <v>#REF!</v>
      </c>
      <c r="BK89" s="78">
        <f>'SO01'!$M$29</f>
        <v>0</v>
      </c>
      <c r="BL89" s="78">
        <f>'SO01'!$M$30</f>
        <v>0</v>
      </c>
      <c r="BM89" s="78">
        <f>'SO01'!$M$31</f>
        <v>0</v>
      </c>
      <c r="BN89" s="78">
        <f>'SO01'!$M$32</f>
        <v>0</v>
      </c>
      <c r="BO89" s="78">
        <f>'SO01'!$H$29</f>
        <v>0</v>
      </c>
      <c r="BP89" s="78">
        <f>'SO01'!$H$30</f>
        <v>0</v>
      </c>
      <c r="BQ89" s="78">
        <f>'SO01'!$H$31</f>
        <v>0</v>
      </c>
      <c r="BR89" s="78">
        <f>'SO01'!$H$32</f>
        <v>0</v>
      </c>
      <c r="BS89" s="80">
        <f>'SO01'!$H$33</f>
        <v>0</v>
      </c>
      <c r="BT89" s="76" t="s">
        <v>70</v>
      </c>
      <c r="BV89" s="76" t="s">
        <v>65</v>
      </c>
      <c r="BW89" s="76" t="s">
        <v>71</v>
      </c>
      <c r="BX89" s="76" t="s">
        <v>69</v>
      </c>
    </row>
    <row r="90" spans="1:90" s="76" customFormat="1" ht="39.950000000000003" customHeight="1" x14ac:dyDescent="0.3">
      <c r="A90" s="151" t="s">
        <v>115</v>
      </c>
      <c r="B90" s="73"/>
      <c r="C90" s="74"/>
      <c r="D90" s="278" t="s">
        <v>133</v>
      </c>
      <c r="E90" s="279"/>
      <c r="F90" s="279"/>
      <c r="G90" s="279"/>
      <c r="H90" s="279"/>
      <c r="I90" s="67"/>
      <c r="J90" s="271" t="s">
        <v>258</v>
      </c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127"/>
      <c r="AL90" s="272">
        <f>'SO03'!$M$27</f>
        <v>0</v>
      </c>
      <c r="AM90" s="272"/>
      <c r="AN90" s="272">
        <f>'SO03'!L35</f>
        <v>0</v>
      </c>
      <c r="AO90" s="273"/>
      <c r="AP90" s="273"/>
      <c r="AQ90" s="75"/>
      <c r="BE90" s="185"/>
      <c r="BG90" s="65"/>
      <c r="BH90" s="77" t="e">
        <f>#REF!</f>
        <v>#REF!</v>
      </c>
      <c r="BI90" s="78" t="e">
        <f>ROUND(SUM($BK$90:$BL$90),2)</f>
        <v>#REF!</v>
      </c>
      <c r="BJ90" s="79" t="e">
        <f>#REF!</f>
        <v>#REF!</v>
      </c>
      <c r="BK90" s="78" t="e">
        <f>#REF!</f>
        <v>#REF!</v>
      </c>
      <c r="BL90" s="78" t="e">
        <f>#REF!</f>
        <v>#REF!</v>
      </c>
      <c r="BM90" s="78" t="e">
        <f>#REF!</f>
        <v>#REF!</v>
      </c>
      <c r="BN90" s="78" t="e">
        <f>#REF!</f>
        <v>#REF!</v>
      </c>
      <c r="BO90" s="78" t="e">
        <f>#REF!</f>
        <v>#REF!</v>
      </c>
      <c r="BP90" s="78" t="e">
        <f>#REF!</f>
        <v>#REF!</v>
      </c>
      <c r="BQ90" s="78" t="e">
        <f>#REF!</f>
        <v>#REF!</v>
      </c>
      <c r="BR90" s="78" t="e">
        <f>#REF!</f>
        <v>#REF!</v>
      </c>
      <c r="BS90" s="72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</row>
    <row r="91" spans="1:90" s="76" customFormat="1" ht="39.950000000000003" customHeight="1" x14ac:dyDescent="0.3">
      <c r="A91" s="151" t="s">
        <v>115</v>
      </c>
      <c r="B91" s="73"/>
      <c r="C91" s="74"/>
      <c r="D91" s="278" t="s">
        <v>134</v>
      </c>
      <c r="E91" s="279"/>
      <c r="F91" s="279"/>
      <c r="G91" s="279"/>
      <c r="H91" s="279"/>
      <c r="I91" s="158"/>
      <c r="J91" s="271" t="s">
        <v>377</v>
      </c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127"/>
      <c r="AL91" s="272">
        <f>'SO04'!$M$27</f>
        <v>0</v>
      </c>
      <c r="AM91" s="272"/>
      <c r="AN91" s="272">
        <f>'SO04'!L35</f>
        <v>0</v>
      </c>
      <c r="AO91" s="273"/>
      <c r="AP91" s="273"/>
      <c r="AQ91" s="75"/>
      <c r="BE91" s="187"/>
      <c r="BG91" s="65"/>
      <c r="BH91" s="77"/>
      <c r="BI91" s="78"/>
      <c r="BJ91" s="79"/>
      <c r="BK91" s="78"/>
      <c r="BL91" s="78"/>
      <c r="BM91" s="78"/>
      <c r="BN91" s="78"/>
      <c r="BO91" s="78"/>
      <c r="BP91" s="78"/>
      <c r="BQ91" s="78"/>
      <c r="BR91" s="78"/>
      <c r="BS91" s="72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</row>
    <row r="92" spans="1:90" s="76" customFormat="1" ht="39.950000000000003" customHeight="1" x14ac:dyDescent="0.3">
      <c r="A92" s="151" t="s">
        <v>115</v>
      </c>
      <c r="B92" s="73"/>
      <c r="C92" s="74"/>
      <c r="D92" s="278" t="s">
        <v>162</v>
      </c>
      <c r="E92" s="279"/>
      <c r="F92" s="279"/>
      <c r="G92" s="279"/>
      <c r="H92" s="279"/>
      <c r="I92" s="158"/>
      <c r="J92" s="271" t="s">
        <v>257</v>
      </c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127"/>
      <c r="AL92" s="272">
        <f>'IO01'!$M$27</f>
        <v>0</v>
      </c>
      <c r="AM92" s="272"/>
      <c r="AN92" s="272">
        <f>'IO01'!L35</f>
        <v>0</v>
      </c>
      <c r="AO92" s="273"/>
      <c r="AP92" s="273"/>
      <c r="AQ92" s="75"/>
      <c r="BG92" s="65"/>
      <c r="BH92" s="77"/>
      <c r="BI92" s="78"/>
      <c r="BJ92" s="79"/>
      <c r="BK92" s="78"/>
      <c r="BL92" s="78"/>
      <c r="BM92" s="78"/>
      <c r="BN92" s="78"/>
      <c r="BO92" s="78"/>
      <c r="BP92" s="78"/>
      <c r="BQ92" s="78"/>
      <c r="BR92" s="78"/>
      <c r="BS92" s="72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</row>
    <row r="93" spans="1:90" s="76" customFormat="1" ht="24.95" customHeight="1" x14ac:dyDescent="0.3">
      <c r="A93" s="151" t="s">
        <v>115</v>
      </c>
      <c r="B93" s="66"/>
      <c r="C93" s="67"/>
      <c r="D93" s="278" t="s">
        <v>163</v>
      </c>
      <c r="E93" s="279"/>
      <c r="F93" s="279"/>
      <c r="G93" s="279"/>
      <c r="H93" s="279"/>
      <c r="I93" s="67"/>
      <c r="J93" s="271" t="s">
        <v>182</v>
      </c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65"/>
      <c r="AH93" s="137"/>
      <c r="AI93" s="137"/>
      <c r="AJ93" s="137"/>
      <c r="AK93" s="127"/>
      <c r="AL93" s="272">
        <f>'VN + ON'!$M$26</f>
        <v>0</v>
      </c>
      <c r="AM93" s="272"/>
      <c r="AN93" s="272">
        <f>'VN + ON'!L34</f>
        <v>0</v>
      </c>
      <c r="AO93" s="273"/>
      <c r="AP93" s="273"/>
      <c r="AQ93" s="22"/>
      <c r="AR93" s="7"/>
      <c r="BG93" s="65"/>
      <c r="BH93" s="77"/>
      <c r="BI93" s="78"/>
      <c r="BJ93" s="79"/>
      <c r="BK93" s="78"/>
      <c r="BL93" s="78"/>
      <c r="BM93" s="78"/>
      <c r="BN93" s="78"/>
      <c r="BO93" s="78"/>
      <c r="BP93" s="78"/>
      <c r="BQ93" s="78"/>
      <c r="BR93" s="78"/>
      <c r="BS93" s="72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</row>
    <row r="94" spans="1:90" s="76" customFormat="1" ht="23.25" customHeight="1" x14ac:dyDescent="0.3">
      <c r="A94" s="7"/>
      <c r="B94" s="21"/>
      <c r="C94" s="59" t="s">
        <v>142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276">
        <f>ROUND(SUM(AG95:AM99),2)</f>
        <v>0</v>
      </c>
      <c r="AH94" s="254"/>
      <c r="AI94" s="254"/>
      <c r="AJ94" s="254"/>
      <c r="AK94" s="254"/>
      <c r="AL94" s="254"/>
      <c r="AM94" s="254"/>
      <c r="AN94" s="276">
        <f>ROUND(SUM($AN$95:$AN$99),2)</f>
        <v>0</v>
      </c>
      <c r="AO94" s="254"/>
      <c r="AP94" s="254"/>
      <c r="AQ94" s="22"/>
      <c r="AR94" s="7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G94" s="65"/>
      <c r="BH94" s="77"/>
      <c r="BI94" s="78"/>
      <c r="BJ94" s="79"/>
      <c r="BK94" s="78"/>
      <c r="BL94" s="78"/>
      <c r="BM94" s="78"/>
      <c r="BN94" s="78"/>
      <c r="BO94" s="78"/>
      <c r="BP94" s="78"/>
      <c r="BQ94" s="78"/>
      <c r="BR94" s="78"/>
      <c r="BS94" s="72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</row>
    <row r="95" spans="1:90" s="7" customFormat="1" ht="30.75" customHeight="1" x14ac:dyDescent="0.3">
      <c r="B95" s="21"/>
      <c r="D95" s="281" t="s">
        <v>77</v>
      </c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G95" s="284">
        <v>0</v>
      </c>
      <c r="AH95" s="285"/>
      <c r="AI95" s="285"/>
      <c r="AJ95" s="285"/>
      <c r="AK95" s="285"/>
      <c r="AL95" s="285"/>
      <c r="AM95" s="285"/>
      <c r="AN95" s="280">
        <f>ROUND(AG95*1.21,2)</f>
        <v>0</v>
      </c>
      <c r="AO95" s="254"/>
      <c r="AP95" s="254"/>
      <c r="AQ95" s="22"/>
      <c r="BG95" s="65"/>
      <c r="BH95" s="81" t="e">
        <f>'VN + ON'!#REF!</f>
        <v>#REF!</v>
      </c>
      <c r="BI95" s="82">
        <f>ROUND(SUM($BK$95:$BL$95),2)</f>
        <v>0</v>
      </c>
      <c r="BJ95" s="83" t="e">
        <f>'VN + ON'!$W$108</f>
        <v>#REF!</v>
      </c>
      <c r="BK95" s="82">
        <f>'VN + ON'!$M$28</f>
        <v>0</v>
      </c>
      <c r="BL95" s="82">
        <f>'VN + ON'!$M$29</f>
        <v>0</v>
      </c>
      <c r="BM95" s="82">
        <f>'VN + ON'!$M$30</f>
        <v>0</v>
      </c>
      <c r="BN95" s="82">
        <f>'VN + ON'!$M$31</f>
        <v>0</v>
      </c>
      <c r="BO95" s="82">
        <f>'VN + ON'!$H$28</f>
        <v>0</v>
      </c>
      <c r="BP95" s="82">
        <f>'VN + ON'!$H$29</f>
        <v>0</v>
      </c>
      <c r="BQ95" s="82">
        <f>'VN + ON'!$H$30</f>
        <v>0</v>
      </c>
      <c r="BR95" s="82">
        <f>'VN + ON'!$H$31</f>
        <v>0</v>
      </c>
      <c r="BS95" s="84">
        <f>'VN + ON'!$H$32</f>
        <v>0</v>
      </c>
      <c r="BT95" s="65" t="s">
        <v>68</v>
      </c>
      <c r="BU95" s="65"/>
      <c r="BV95" s="65" t="s">
        <v>65</v>
      </c>
      <c r="BW95" s="65" t="s">
        <v>72</v>
      </c>
      <c r="BX95" s="65" t="s">
        <v>66</v>
      </c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</row>
    <row r="96" spans="1:90" s="7" customFormat="1" ht="21" customHeight="1" x14ac:dyDescent="0.3">
      <c r="B96" s="21"/>
      <c r="D96" s="281" t="s">
        <v>77</v>
      </c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G96" s="284">
        <v>0</v>
      </c>
      <c r="AH96" s="285"/>
      <c r="AI96" s="285"/>
      <c r="AJ96" s="285"/>
      <c r="AK96" s="285"/>
      <c r="AL96" s="285"/>
      <c r="AM96" s="285"/>
      <c r="AN96" s="280">
        <f t="shared" ref="AN96:AN99" si="0">ROUND(AG96*1.21,2)</f>
        <v>0</v>
      </c>
      <c r="AO96" s="254"/>
      <c r="AP96" s="254"/>
      <c r="AQ96" s="22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</row>
    <row r="97" spans="1:90" s="7" customFormat="1" ht="21" customHeight="1" x14ac:dyDescent="0.3">
      <c r="B97" s="21"/>
      <c r="D97" s="281" t="s">
        <v>77</v>
      </c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G97" s="284">
        <v>0</v>
      </c>
      <c r="AH97" s="285"/>
      <c r="AI97" s="285"/>
      <c r="AJ97" s="285"/>
      <c r="AK97" s="285"/>
      <c r="AL97" s="285"/>
      <c r="AM97" s="285"/>
      <c r="AN97" s="280">
        <f t="shared" si="0"/>
        <v>0</v>
      </c>
      <c r="AO97" s="254"/>
      <c r="AP97" s="254"/>
      <c r="AQ97" s="22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</row>
    <row r="98" spans="1:90" s="7" customFormat="1" ht="21" customHeight="1" x14ac:dyDescent="0.3">
      <c r="B98" s="21"/>
      <c r="D98" s="281" t="s">
        <v>77</v>
      </c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G98" s="284">
        <v>0</v>
      </c>
      <c r="AH98" s="285"/>
      <c r="AI98" s="285"/>
      <c r="AJ98" s="285"/>
      <c r="AK98" s="285"/>
      <c r="AL98" s="285"/>
      <c r="AM98" s="285"/>
      <c r="AN98" s="280">
        <f t="shared" si="0"/>
        <v>0</v>
      </c>
      <c r="AO98" s="254"/>
      <c r="AP98" s="254"/>
      <c r="AQ98" s="22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</row>
    <row r="99" spans="1:90" s="7" customFormat="1" ht="21" customHeight="1" x14ac:dyDescent="0.3">
      <c r="B99" s="21"/>
      <c r="D99" s="281" t="s">
        <v>77</v>
      </c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G99" s="284">
        <v>0</v>
      </c>
      <c r="AH99" s="285"/>
      <c r="AI99" s="285"/>
      <c r="AJ99" s="285"/>
      <c r="AK99" s="285"/>
      <c r="AL99" s="285"/>
      <c r="AM99" s="285"/>
      <c r="AN99" s="280">
        <f t="shared" si="0"/>
        <v>0</v>
      </c>
      <c r="AO99" s="254"/>
      <c r="AP99" s="254"/>
      <c r="AQ99" s="22"/>
      <c r="BH99" s="55" t="s">
        <v>73</v>
      </c>
      <c r="BI99" s="56" t="s">
        <v>74</v>
      </c>
      <c r="BJ99" s="56" t="s">
        <v>27</v>
      </c>
      <c r="BK99" s="57" t="s">
        <v>50</v>
      </c>
    </row>
    <row r="100" spans="1:90" s="7" customFormat="1" ht="21" customHeight="1" x14ac:dyDescent="0.3">
      <c r="B100" s="21"/>
      <c r="AQ100" s="22"/>
      <c r="BH100" s="85">
        <v>0</v>
      </c>
      <c r="BI100" s="86" t="s">
        <v>75</v>
      </c>
      <c r="BJ100" s="86" t="s">
        <v>28</v>
      </c>
      <c r="BK100" s="87" t="e">
        <f>ROUND(IF($BJ$100="základní",#REF!*$L$28,IF($BJ$100="snížená",#REF!*$L$29,0)),2)</f>
        <v>#REF!</v>
      </c>
      <c r="BV100" s="7" t="s">
        <v>76</v>
      </c>
      <c r="BY100" s="88" t="e">
        <f>IF($BJ$100="základní",$BK$100,0)</f>
        <v>#REF!</v>
      </c>
      <c r="BZ100" s="88">
        <f>IF($BJ$100="snížená",$BK$100,0)</f>
        <v>0</v>
      </c>
      <c r="CA100" s="88">
        <v>0</v>
      </c>
      <c r="CB100" s="88">
        <v>0</v>
      </c>
      <c r="CC100" s="88">
        <v>0</v>
      </c>
      <c r="CD100" s="88" t="e">
        <f>IF($BJ$100="základní",#REF!,0)</f>
        <v>#REF!</v>
      </c>
      <c r="CE100" s="88">
        <f>IF($BJ$100="snížená",#REF!,0)</f>
        <v>0</v>
      </c>
      <c r="CF100" s="88">
        <f>IF($BJ$100="zákl. přenesená",#REF!,0)</f>
        <v>0</v>
      </c>
      <c r="CG100" s="88">
        <f>IF($BJ$100="sníž. přenesená",#REF!,0)</f>
        <v>0</v>
      </c>
      <c r="CH100" s="88">
        <f>IF($BJ$100="nulová",#REF!,0)</f>
        <v>0</v>
      </c>
      <c r="CI100" s="7">
        <f>IF($BJ$100="základní",1,IF($BJ$100="snížená",2,IF($BJ$100="zákl. přenesená",4,IF($BJ$100="sníž. přenesená",5,3))))</f>
        <v>1</v>
      </c>
      <c r="CJ100" s="7">
        <f>IF($BI$100="stavební čast",1,IF(88103="investiční čast",2,3))</f>
        <v>1</v>
      </c>
      <c r="CK100" s="7" t="e">
        <f>IF(#REF!="Vyplň vlastní","","x")</f>
        <v>#REF!</v>
      </c>
    </row>
    <row r="101" spans="1:90" s="7" customFormat="1" ht="21" customHeight="1" x14ac:dyDescent="0.3">
      <c r="B101" s="21"/>
      <c r="C101" s="94" t="s">
        <v>79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286">
        <f>ROUND($AG$87+$AG$94,2)</f>
        <v>0</v>
      </c>
      <c r="AH101" s="287"/>
      <c r="AI101" s="287"/>
      <c r="AJ101" s="287"/>
      <c r="AK101" s="287"/>
      <c r="AL101" s="287"/>
      <c r="AM101" s="287"/>
      <c r="AN101" s="286">
        <f>ROUND($AN$87+$AN$94,2)</f>
        <v>0</v>
      </c>
      <c r="AO101" s="287"/>
      <c r="AP101" s="287"/>
      <c r="AQ101" s="22"/>
      <c r="AR101" s="6"/>
      <c r="BH101" s="89">
        <v>0</v>
      </c>
      <c r="BI101" s="90" t="s">
        <v>75</v>
      </c>
      <c r="BJ101" s="90" t="s">
        <v>28</v>
      </c>
      <c r="BK101" s="80">
        <f>ROUND(IF($BJ$101="nulová",0,IF(OR($BJ$101="základní",$BJ$101="zákl. přenesená"),$AG$95*$L$28,$AG$95*$L$29)),2)</f>
        <v>0</v>
      </c>
      <c r="BV101" s="7" t="s">
        <v>78</v>
      </c>
      <c r="BY101" s="88">
        <f>IF($BJ$101="základní",$BK$101,0)</f>
        <v>0</v>
      </c>
      <c r="BZ101" s="88">
        <f>IF($BJ$101="snížená",$BK$101,0)</f>
        <v>0</v>
      </c>
      <c r="CA101" s="88">
        <f>IF($BJ$101="zákl. přenesená",$BK$101,0)</f>
        <v>0</v>
      </c>
      <c r="CB101" s="88">
        <f>IF($BJ$101="sníž. přenesená",$BK$101,0)</f>
        <v>0</v>
      </c>
      <c r="CC101" s="88">
        <f>IF($BJ$101="nulová",$BK$101,0)</f>
        <v>0</v>
      </c>
      <c r="CD101" s="88">
        <f>IF($BJ$101="základní",$AG$95,0)</f>
        <v>0</v>
      </c>
      <c r="CE101" s="88">
        <f>IF($BJ$101="snížená",$AG$95,0)</f>
        <v>0</v>
      </c>
      <c r="CF101" s="88">
        <f>IF($BJ$101="zákl. přenesená",$AG$95,0)</f>
        <v>0</v>
      </c>
      <c r="CG101" s="88">
        <f>IF($BJ$101="sníž. přenesená",$AG$95,0)</f>
        <v>0</v>
      </c>
      <c r="CH101" s="88">
        <f>IF($BJ$101="nulová",$AG$95,0)</f>
        <v>0</v>
      </c>
      <c r="CI101" s="7">
        <f>IF($BJ$101="základní",1,IF($BJ$101="snížená",2,IF($BJ$101="zákl. přenesená",4,IF($BJ$101="sníž. přenesená",5,3))))</f>
        <v>1</v>
      </c>
      <c r="CJ101" s="7">
        <f>IF($BI$101="stavební čast",1,IF(88104="investiční čast",2,3))</f>
        <v>1</v>
      </c>
      <c r="CK101" s="7" t="str">
        <f>IF($D$95="Vyplň vlastní","","x")</f>
        <v/>
      </c>
    </row>
    <row r="102" spans="1:90" s="7" customFormat="1" ht="12" customHeight="1" x14ac:dyDescent="0.3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136"/>
      <c r="AR102" s="6"/>
      <c r="BH102" s="89">
        <v>0</v>
      </c>
      <c r="BI102" s="90" t="s">
        <v>75</v>
      </c>
      <c r="BJ102" s="90" t="s">
        <v>28</v>
      </c>
      <c r="BK102" s="80">
        <f>ROUND(IF($BJ$102="nulová",0,IF(OR($BJ$102="základní",$BJ$102="zákl. přenesená"),$AG$96*$L$28,$AG$96*$L$29)),2)</f>
        <v>0</v>
      </c>
      <c r="BV102" s="7" t="s">
        <v>78</v>
      </c>
      <c r="BY102" s="88">
        <f>IF($BJ$102="základní",$BK$102,0)</f>
        <v>0</v>
      </c>
      <c r="BZ102" s="88">
        <f>IF($BJ$102="snížená",$BK$102,0)</f>
        <v>0</v>
      </c>
      <c r="CA102" s="88">
        <f>IF($BJ$102="zákl. přenesená",$BK$102,0)</f>
        <v>0</v>
      </c>
      <c r="CB102" s="88">
        <f>IF($BJ$102="sníž. přenesená",$BK$102,0)</f>
        <v>0</v>
      </c>
      <c r="CC102" s="88">
        <f>IF($BJ$102="nulová",$BK$102,0)</f>
        <v>0</v>
      </c>
      <c r="CD102" s="88">
        <f>IF($BJ$102="základní",$AG$96,0)</f>
        <v>0</v>
      </c>
      <c r="CE102" s="88">
        <f>IF($BJ$102="snížená",$AG$96,0)</f>
        <v>0</v>
      </c>
      <c r="CF102" s="88">
        <f>IF($BJ$102="zákl. přenesená",$AG$96,0)</f>
        <v>0</v>
      </c>
      <c r="CG102" s="88">
        <f>IF($BJ$102="sníž. přenesená",$AG$96,0)</f>
        <v>0</v>
      </c>
      <c r="CH102" s="88">
        <f>IF($BJ$102="nulová",$AG$96,0)</f>
        <v>0</v>
      </c>
      <c r="CI102" s="7">
        <f>IF($BJ$102="základní",1,IF($BJ$102="snížená",2,IF($BJ$102="zákl. přenesená",4,IF($BJ$102="sníž. přenesená",5,3))))</f>
        <v>1</v>
      </c>
      <c r="CJ102" s="7">
        <f>IF($BI$102="stavební čast",1,IF(88105="investiční čast",2,3))</f>
        <v>1</v>
      </c>
      <c r="CK102" s="7" t="str">
        <f>IF($D$96="Vyplň vlastní","","x")</f>
        <v/>
      </c>
    </row>
    <row r="103" spans="1:90" s="7" customFormat="1" ht="30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BH103" s="91">
        <v>0</v>
      </c>
      <c r="BI103" s="92" t="s">
        <v>75</v>
      </c>
      <c r="BJ103" s="92" t="s">
        <v>28</v>
      </c>
      <c r="BK103" s="93">
        <f>ROUND(IF($BJ$103="nulová",0,IF(OR($BJ$103="základní",$BJ$103="zákl. přenesená"),$AG$99*$L$28,$AG$99*$L$29)),2)</f>
        <v>0</v>
      </c>
      <c r="BV103" s="7" t="s">
        <v>78</v>
      </c>
      <c r="BY103" s="88">
        <f>IF($BJ$103="základní",$BK$103,0)</f>
        <v>0</v>
      </c>
      <c r="BZ103" s="88">
        <f>IF($BJ$103="snížená",$BK$103,0)</f>
        <v>0</v>
      </c>
      <c r="CA103" s="88">
        <f>IF($BJ$103="zákl. přenesená",$BK$103,0)</f>
        <v>0</v>
      </c>
      <c r="CB103" s="88">
        <f>IF($BJ$103="sníž. přenesená",$BK$103,0)</f>
        <v>0</v>
      </c>
      <c r="CC103" s="88">
        <f>IF($BJ$103="nulová",$BK$103,0)</f>
        <v>0</v>
      </c>
      <c r="CD103" s="88">
        <f>IF($BJ$103="základní",$AG$99,0)</f>
        <v>0</v>
      </c>
      <c r="CE103" s="88">
        <f>IF($BJ$103="snížená",$AG$99,0)</f>
        <v>0</v>
      </c>
      <c r="CF103" s="88">
        <f>IF($BJ$103="zákl. přenesená",$AG$99,0)</f>
        <v>0</v>
      </c>
      <c r="CG103" s="88">
        <f>IF($BJ$103="sníž. přenesená",$AG$99,0)</f>
        <v>0</v>
      </c>
      <c r="CH103" s="88">
        <f>IF($BJ$103="nulová",$AG$99,0)</f>
        <v>0</v>
      </c>
      <c r="CI103" s="7">
        <f>IF($BJ$103="základní",1,IF($BJ$103="snížená",2,IF($BJ$103="zákl. přenesená",4,IF($BJ$103="sníž. přenesená",5,3))))</f>
        <v>1</v>
      </c>
      <c r="CJ103" s="7">
        <f>IF($BI$103="stavební čast",1,IF(88106="investiční čast",2,3))</f>
        <v>1</v>
      </c>
      <c r="CK103" s="7" t="str">
        <f>IF($D$99="Vyplň vlastní","","x")</f>
        <v/>
      </c>
    </row>
    <row r="104" spans="1:90" s="7" customFormat="1" ht="7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spans="1:90" ht="14.25" customHeight="1" x14ac:dyDescent="0.3"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</row>
    <row r="106" spans="1:90" ht="14.25" customHeight="1" x14ac:dyDescent="0.3"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</row>
  </sheetData>
  <sheetProtection algorithmName="SHA-512" hashValue="2temdd0O12ASbxHqEQGkznzRL7tJ7scPB81Z7WNR8L2Q203VfvcNKY8DYW8pCp2m6wITQszPHx884mrgxZBa2g==" saltValue="joGxac2sGMdZdCzs90vwbg==" spinCount="100000" sheet="1" selectLockedCells="1"/>
  <mergeCells count="88">
    <mergeCell ref="AN96:AP96"/>
    <mergeCell ref="D99:AB99"/>
    <mergeCell ref="AG99:AM99"/>
    <mergeCell ref="AN99:AP99"/>
    <mergeCell ref="D97:AB97"/>
    <mergeCell ref="D98:AB98"/>
    <mergeCell ref="D96:AB96"/>
    <mergeCell ref="AG101:AM101"/>
    <mergeCell ref="AN101:AP101"/>
    <mergeCell ref="AG98:AM98"/>
    <mergeCell ref="AN97:AP97"/>
    <mergeCell ref="AN98:AP98"/>
    <mergeCell ref="D90:H90"/>
    <mergeCell ref="J90:AJ90"/>
    <mergeCell ref="AG97:AM97"/>
    <mergeCell ref="D92:H92"/>
    <mergeCell ref="AG95:AM95"/>
    <mergeCell ref="AG96:AM96"/>
    <mergeCell ref="C85:G85"/>
    <mergeCell ref="I85:AF85"/>
    <mergeCell ref="AG85:AM85"/>
    <mergeCell ref="D88:H88"/>
    <mergeCell ref="AL88:AM88"/>
    <mergeCell ref="J88:AJ88"/>
    <mergeCell ref="AG87:AM87"/>
    <mergeCell ref="D89:H89"/>
    <mergeCell ref="J89:AJ89"/>
    <mergeCell ref="AL89:AM89"/>
    <mergeCell ref="AN89:AP89"/>
    <mergeCell ref="AN95:AP95"/>
    <mergeCell ref="AG94:AM94"/>
    <mergeCell ref="D95:AB95"/>
    <mergeCell ref="AN94:AP94"/>
    <mergeCell ref="D91:H91"/>
    <mergeCell ref="D93:H93"/>
    <mergeCell ref="J93:AF93"/>
    <mergeCell ref="AN93:AP93"/>
    <mergeCell ref="AL93:AM93"/>
    <mergeCell ref="AL90:AM90"/>
    <mergeCell ref="AN90:AP90"/>
    <mergeCell ref="J91:AJ91"/>
    <mergeCell ref="L78:AO78"/>
    <mergeCell ref="AM82:AP82"/>
    <mergeCell ref="AM83:AP83"/>
    <mergeCell ref="AM80:AN80"/>
    <mergeCell ref="J92:AJ92"/>
    <mergeCell ref="AL92:AM92"/>
    <mergeCell ref="AN92:AP92"/>
    <mergeCell ref="L80:AG80"/>
    <mergeCell ref="AN85:AP85"/>
    <mergeCell ref="AN88:AP88"/>
    <mergeCell ref="AN87:AP87"/>
    <mergeCell ref="AL91:AM91"/>
    <mergeCell ref="AN91:AP91"/>
    <mergeCell ref="AR2:BE2"/>
    <mergeCell ref="L30:O30"/>
    <mergeCell ref="W30:AE30"/>
    <mergeCell ref="AK30:AO30"/>
    <mergeCell ref="BH82:BR84"/>
    <mergeCell ref="L31:O31"/>
    <mergeCell ref="W31:AE31"/>
    <mergeCell ref="AK31:AO31"/>
    <mergeCell ref="L32:O32"/>
    <mergeCell ref="W32:AE32"/>
    <mergeCell ref="AK32:AO32"/>
    <mergeCell ref="BE5:BE34"/>
    <mergeCell ref="K5:AO5"/>
    <mergeCell ref="K6:AO6"/>
    <mergeCell ref="X34:AB34"/>
    <mergeCell ref="AK34:AO34"/>
    <mergeCell ref="C76:AP76"/>
    <mergeCell ref="L29:O29"/>
    <mergeCell ref="W29:AE29"/>
    <mergeCell ref="AK29:AO29"/>
    <mergeCell ref="L28:O28"/>
    <mergeCell ref="W28:AE28"/>
    <mergeCell ref="AK26:AO26"/>
    <mergeCell ref="AK28:AO28"/>
    <mergeCell ref="C2:AP2"/>
    <mergeCell ref="C4:AP4"/>
    <mergeCell ref="E14:AJ14"/>
    <mergeCell ref="AK23:AO23"/>
    <mergeCell ref="AK24:AO24"/>
    <mergeCell ref="K7:AJ7"/>
    <mergeCell ref="E17:AJ17"/>
    <mergeCell ref="E20:AJ20"/>
    <mergeCell ref="K8:AJ8"/>
    <mergeCell ref="E11:AJ11"/>
  </mergeCells>
  <phoneticPr fontId="0" type="noConversion"/>
  <dataValidations disablePrompts="1" count="2">
    <dataValidation type="list" allowBlank="1" showInputMessage="1" showErrorMessage="1" error="Povoleny jsou hodnoty základní, snížená, zákl. přenesená, sníž. přenesená, nulová." sqref="AU101 BJ100:BJ103" xr:uid="{00000000-0002-0000-0000-000000000000}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01 BI100:BI103" xr:uid="{00000000-0002-0000-0000-000001000000}">
      <formula1>"stavební čast,technologická čast,investiční čast"</formula1>
    </dataValidation>
  </dataValidations>
  <hyperlinks>
    <hyperlink ref="K1:S1" location="C2" tooltip="Souhrnný list stavby" display="1) Souhrnný list stavby" xr:uid="{00000000-0004-0000-0000-000000000000}"/>
    <hyperlink ref="W1:AF1" location="C87" tooltip="Rekapitulace objektů" display="2) Rekapitulace objektů" xr:uid="{00000000-0004-0000-0000-000001000000}"/>
    <hyperlink ref="A88" location="'SO01'!C4" tooltip="SO01" display="/" xr:uid="{00000000-0004-0000-0000-000002000000}"/>
    <hyperlink ref="A93" location="'VN + ON'!C4" tooltip="VN + ON" display="/" xr:uid="{00000000-0004-0000-0000-000003000000}"/>
    <hyperlink ref="A89" location="'SO02'!C4" tooltip="SO02" display="/" xr:uid="{00000000-0004-0000-0000-000004000000}"/>
    <hyperlink ref="A91" location="'SO04'!C4" tooltip="SO04" display="/" xr:uid="{00000000-0004-0000-0000-000006000000}"/>
    <hyperlink ref="A92" location="'SO05'!C4" tooltip="SO05" display="/" xr:uid="{00000000-0004-0000-0000-000007000000}"/>
    <hyperlink ref="A90" location="'SO03'!C4" tooltip="SO03" display="/" xr:uid="{00000000-0004-0000-0000-000005000000}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ignoredErrors>
    <ignoredError sqref="AN19 AN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K160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11.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12" t="s">
        <v>117</v>
      </c>
      <c r="I1" s="312"/>
      <c r="J1" s="312"/>
      <c r="K1" s="312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29" ht="37.5" customHeight="1" x14ac:dyDescent="0.3">
      <c r="C2" s="321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S2" s="256" t="s">
        <v>3</v>
      </c>
      <c r="T2" s="248"/>
      <c r="U2" s="248"/>
      <c r="V2" s="248"/>
      <c r="W2" s="248"/>
      <c r="X2" s="248"/>
      <c r="Y2" s="248"/>
      <c r="Z2" s="248"/>
      <c r="AA2" s="248"/>
      <c r="AB2" s="248"/>
      <c r="AC2" s="248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49" t="s">
        <v>81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306" t="str">
        <f>Rekapitulace!$K$6</f>
        <v>Instalace FVE s akumulací pro vlastní spotřebu elektřiny ve společnosti ČEPRO, a.s. v areálu Mstětice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R6" s="12"/>
    </row>
    <row r="7" spans="2:29" ht="24.95" customHeight="1" x14ac:dyDescent="0.3">
      <c r="B7" s="11"/>
      <c r="D7" s="18" t="s">
        <v>82</v>
      </c>
      <c r="F7" s="306" t="str">
        <f>Rekapitulace!J88</f>
        <v>SO 01 - Instalace FVE 1 o výkonu 124,44 kWp na jižní straně budovy č. 700/1 - Sklad a výdej olejů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R7" s="12"/>
    </row>
    <row r="8" spans="2:29" s="7" customFormat="1" ht="33.75" customHeight="1" x14ac:dyDescent="0.3">
      <c r="B8" s="21"/>
      <c r="D8" s="17" t="s">
        <v>83</v>
      </c>
      <c r="F8" s="264" t="str">
        <f>Rekapitulace!J88</f>
        <v>SO 01 - Instalace FVE 1 o výkonu 124,44 kWp na jižní straně budovy č. 700/1 - Sklad a výdej olejů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53" t="str">
        <f>Rekapitulace!L80</f>
        <v>Areál skladu ČEPRO, a.s.; Mstětice 3, 250 91 Zeleneč</v>
      </c>
      <c r="G10" s="253"/>
      <c r="H10" s="253"/>
      <c r="I10" s="253"/>
      <c r="J10" s="253"/>
      <c r="K10" s="253"/>
      <c r="L10" s="253"/>
      <c r="M10" s="18" t="s">
        <v>16</v>
      </c>
      <c r="O10" s="322">
        <f>Rekapitulace!$AN$8</f>
        <v>44105</v>
      </c>
      <c r="P10" s="322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53">
        <f>IF(Rekapitulace!$AN$10="","",Rekapitulace!$AN$10)</f>
        <v>60193531</v>
      </c>
      <c r="P12" s="254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a.s., Dělnická 213/12, Holešovice, 170 00 Praha 7</v>
      </c>
      <c r="M13" s="18" t="s">
        <v>19</v>
      </c>
      <c r="O13" s="253" t="str">
        <f>IF(Rekapitulace!$AN$11="","",Rekapitulace!$AN$11)</f>
        <v>CZ60193531</v>
      </c>
      <c r="P13" s="254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316" t="str">
        <f>IF(Rekapitulace!$AN$13="","",Rekapitulace!$AN$13)</f>
        <v>Vyplň údaj</v>
      </c>
      <c r="P15" s="285"/>
      <c r="R15" s="22"/>
    </row>
    <row r="16" spans="2:29" s="7" customFormat="1" ht="18.75" customHeight="1" x14ac:dyDescent="0.3">
      <c r="B16" s="21"/>
      <c r="E16" s="316" t="str">
        <f>IF(Rekapitulace!$E$14="","",Rekapitulace!$E$14)</f>
        <v>Vyplň údaj</v>
      </c>
      <c r="F16" s="285"/>
      <c r="G16" s="285"/>
      <c r="H16" s="285"/>
      <c r="I16" s="285"/>
      <c r="J16" s="285"/>
      <c r="K16" s="285"/>
      <c r="L16" s="285"/>
      <c r="M16" s="18" t="s">
        <v>19</v>
      </c>
      <c r="O16" s="316" t="str">
        <f>IF(Rekapitulace!$AN$14="","",Rekapitulace!$AN$14)</f>
        <v>Vyplň údaj</v>
      </c>
      <c r="P16" s="285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53" t="str">
        <f>IF(Rekapitulace!$AN$16="","",Rekapitulace!$AN$16)</f>
        <v>04083351</v>
      </c>
      <c r="P18" s="254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53" t="str">
        <f>IF(Rekapitulace!$AN$17="","",Rekapitulace!$AN$17)</f>
        <v>CZ04083351</v>
      </c>
      <c r="P19" s="254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53" t="str">
        <f>IF(Rekapitulace!$AN$19="","",Rekapitulace!$AN$19)</f>
        <v>04083351</v>
      </c>
      <c r="P21" s="254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53" t="str">
        <f>IF(Rekapitulace!$AN$20="","",Rekapitulace!$AN$20)</f>
        <v>CZ04083351</v>
      </c>
      <c r="P22" s="254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7" customFormat="1" ht="15" customHeight="1" x14ac:dyDescent="0.3">
      <c r="B25" s="21"/>
      <c r="D25" s="76" t="s">
        <v>84</v>
      </c>
      <c r="M25" s="252">
        <f>$N$87</f>
        <v>0</v>
      </c>
      <c r="N25" s="254"/>
      <c r="O25" s="254"/>
      <c r="P25" s="254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96" t="s">
        <v>26</v>
      </c>
      <c r="M27" s="320">
        <f>ROUND($M$25,2)</f>
        <v>0</v>
      </c>
      <c r="N27" s="254"/>
      <c r="O27" s="254"/>
      <c r="P27" s="254"/>
      <c r="R27" s="22"/>
    </row>
    <row r="28" spans="2:18" s="7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7" customFormat="1" ht="15" customHeight="1" x14ac:dyDescent="0.3">
      <c r="B29" s="21"/>
      <c r="D29" s="26" t="s">
        <v>27</v>
      </c>
      <c r="E29" s="26" t="s">
        <v>28</v>
      </c>
      <c r="F29" s="27">
        <v>0.21</v>
      </c>
      <c r="G29" s="97" t="s">
        <v>29</v>
      </c>
      <c r="H29" s="305">
        <f>M27</f>
        <v>0</v>
      </c>
      <c r="I29" s="254"/>
      <c r="J29" s="254"/>
      <c r="M29" s="305">
        <f>(H29)*$F$29</f>
        <v>0</v>
      </c>
      <c r="N29" s="254"/>
      <c r="O29" s="254"/>
      <c r="P29" s="254"/>
      <c r="R29" s="22"/>
    </row>
    <row r="30" spans="2:18" s="7" customFormat="1" ht="15" customHeight="1" x14ac:dyDescent="0.3">
      <c r="B30" s="21"/>
      <c r="E30" s="26" t="s">
        <v>30</v>
      </c>
      <c r="F30" s="27">
        <v>0.15</v>
      </c>
      <c r="G30" s="97" t="s">
        <v>29</v>
      </c>
      <c r="H30" s="305">
        <f>(SUM($BF$91:$BF$91)+SUM($BF$110:$BF$156))</f>
        <v>0</v>
      </c>
      <c r="I30" s="254"/>
      <c r="J30" s="254"/>
      <c r="M30" s="305">
        <f>(SUM($BF$91:$BF$91)+SUM($BF$110:$BF$156))*$F$30</f>
        <v>0</v>
      </c>
      <c r="N30" s="254"/>
      <c r="O30" s="254"/>
      <c r="P30" s="254"/>
      <c r="R30" s="22"/>
    </row>
    <row r="31" spans="2:18" s="7" customFormat="1" ht="15" hidden="1" customHeight="1" x14ac:dyDescent="0.3">
      <c r="B31" s="21"/>
      <c r="E31" s="26" t="s">
        <v>31</v>
      </c>
      <c r="F31" s="27">
        <v>0.21</v>
      </c>
      <c r="G31" s="97" t="s">
        <v>29</v>
      </c>
      <c r="H31" s="305">
        <f>(SUM($BG$91:$BG$91)+SUM($BG$110:$BG$159))</f>
        <v>0</v>
      </c>
      <c r="I31" s="254"/>
      <c r="J31" s="254"/>
      <c r="M31" s="305">
        <v>0</v>
      </c>
      <c r="N31" s="254"/>
      <c r="O31" s="254"/>
      <c r="P31" s="254"/>
      <c r="R31" s="22"/>
    </row>
    <row r="32" spans="2:18" s="7" customFormat="1" ht="15" hidden="1" customHeight="1" x14ac:dyDescent="0.3">
      <c r="B32" s="21"/>
      <c r="E32" s="26" t="s">
        <v>32</v>
      </c>
      <c r="F32" s="27">
        <v>0.15</v>
      </c>
      <c r="G32" s="97" t="s">
        <v>29</v>
      </c>
      <c r="H32" s="305">
        <f>(SUM($BH$91:$BH$91)+SUM($BH$110:$BH$159))</f>
        <v>0</v>
      </c>
      <c r="I32" s="254"/>
      <c r="J32" s="254"/>
      <c r="M32" s="305">
        <v>0</v>
      </c>
      <c r="N32" s="254"/>
      <c r="O32" s="254"/>
      <c r="P32" s="254"/>
      <c r="R32" s="22"/>
    </row>
    <row r="33" spans="2:18" s="7" customFormat="1" ht="15" hidden="1" customHeight="1" x14ac:dyDescent="0.3">
      <c r="B33" s="21"/>
      <c r="E33" s="26" t="s">
        <v>33</v>
      </c>
      <c r="F33" s="27">
        <v>0</v>
      </c>
      <c r="G33" s="97" t="s">
        <v>29</v>
      </c>
      <c r="H33" s="305">
        <f>(SUM($BI$91:$BI$91)+SUM($BI$110:$BI$159))</f>
        <v>0</v>
      </c>
      <c r="I33" s="254"/>
      <c r="J33" s="254"/>
      <c r="M33" s="305">
        <v>0</v>
      </c>
      <c r="N33" s="254"/>
      <c r="O33" s="254"/>
      <c r="P33" s="254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30"/>
      <c r="D35" s="227" t="s">
        <v>34</v>
      </c>
      <c r="E35" s="233"/>
      <c r="F35" s="233"/>
      <c r="G35" s="225" t="s">
        <v>35</v>
      </c>
      <c r="H35" s="226" t="s">
        <v>36</v>
      </c>
      <c r="I35" s="233"/>
      <c r="J35" s="233"/>
      <c r="K35" s="233"/>
      <c r="L35" s="307">
        <f>ROUND(SUM($M$27:$M$33),2)</f>
        <v>0</v>
      </c>
      <c r="M35" s="308"/>
      <c r="N35" s="308"/>
      <c r="O35" s="308"/>
      <c r="P35" s="308"/>
      <c r="Q35" s="30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K37" s="305"/>
      <c r="L37" s="254"/>
      <c r="M37" s="254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7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7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7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7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7" customFormat="1" ht="37.5" customHeight="1" x14ac:dyDescent="0.3">
      <c r="B75" s="21"/>
      <c r="C75" s="249" t="s">
        <v>85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306" t="str">
        <f>$F$6</f>
        <v>Instalace FVE s akumulací pro vlastní spotřebu elektřiny ve společnosti ČEPRO, a.s. v areálu Mstětice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R77" s="22"/>
    </row>
    <row r="78" spans="2:18" ht="24.95" customHeight="1" x14ac:dyDescent="0.3">
      <c r="B78" s="11"/>
      <c r="C78" s="18" t="s">
        <v>82</v>
      </c>
      <c r="F78" s="306" t="str">
        <f>F7</f>
        <v>SO 01 - Instalace FVE 1 o výkonu 124,44 kWp na jižní straně budovy č. 700/1 - Sklad a výdej olejů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R78" s="12"/>
    </row>
    <row r="79" spans="2:18" s="7" customFormat="1" ht="37.5" customHeight="1" x14ac:dyDescent="0.3">
      <c r="B79" s="21"/>
      <c r="C79" s="51" t="s">
        <v>83</v>
      </c>
      <c r="F79" s="269" t="str">
        <f>F8</f>
        <v>SO 01 - Instalace FVE 1 o výkonu 124,44 kWp na jižní straně budovy č. 700/1 - Sklad a výdej olejů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R79" s="22"/>
    </row>
    <row r="80" spans="2:18" s="7" customFormat="1" ht="7.5" customHeight="1" x14ac:dyDescent="0.3">
      <c r="B80" s="21"/>
      <c r="R80" s="22"/>
    </row>
    <row r="81" spans="2:18" s="7" customFormat="1" ht="18.75" customHeight="1" x14ac:dyDescent="0.3">
      <c r="B81" s="21"/>
      <c r="C81" s="18" t="s">
        <v>15</v>
      </c>
      <c r="F81" s="16" t="str">
        <f>$F$10</f>
        <v>Areál skladu ČEPRO, a.s.; Mstětice 3, 250 91 Zeleneč</v>
      </c>
      <c r="L81" s="18" t="s">
        <v>16</v>
      </c>
      <c r="M81" s="270">
        <f>IF($O$10="","",$O$10)</f>
        <v>44105</v>
      </c>
      <c r="N81" s="254"/>
      <c r="O81" s="254"/>
      <c r="P81" s="254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a.s., Dělnická 213/12, Holešovice, 170 00 Praha 7</v>
      </c>
      <c r="L83" s="18" t="s">
        <v>22</v>
      </c>
      <c r="M83" s="253" t="str">
        <f>$E$19</f>
        <v>YOUNG4ENERGY s.r.o.</v>
      </c>
      <c r="N83" s="254"/>
      <c r="O83" s="254"/>
      <c r="P83" s="254"/>
      <c r="Q83" s="254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53" t="str">
        <f>$E$22</f>
        <v>YOUNG4ENERGY s.r.o.</v>
      </c>
      <c r="N84" s="254"/>
      <c r="O84" s="254"/>
      <c r="P84" s="254"/>
      <c r="Q84" s="254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315" t="s">
        <v>86</v>
      </c>
      <c r="D86" s="287"/>
      <c r="E86" s="287"/>
      <c r="F86" s="287"/>
      <c r="G86" s="287"/>
      <c r="H86" s="30"/>
      <c r="I86" s="30"/>
      <c r="J86" s="30"/>
      <c r="K86" s="30"/>
      <c r="L86" s="30"/>
      <c r="M86" s="30"/>
      <c r="N86" s="315" t="s">
        <v>87</v>
      </c>
      <c r="O86" s="254"/>
      <c r="P86" s="254"/>
      <c r="Q86" s="254"/>
      <c r="R86" s="22"/>
    </row>
    <row r="87" spans="2:18" s="7" customFormat="1" ht="30" customHeight="1" x14ac:dyDescent="0.3">
      <c r="B87" s="21"/>
      <c r="C87" s="59" t="s">
        <v>88</v>
      </c>
      <c r="N87" s="276">
        <f>ROUND($N$110,2)</f>
        <v>0</v>
      </c>
      <c r="O87" s="254"/>
      <c r="P87" s="254"/>
      <c r="Q87" s="254"/>
      <c r="R87" s="22"/>
    </row>
    <row r="88" spans="2:18" s="64" customFormat="1" ht="20.100000000000001" customHeight="1" x14ac:dyDescent="0.35">
      <c r="B88" s="99"/>
      <c r="D88" s="113" t="str">
        <f>D111</f>
        <v>Instalace FVE 1</v>
      </c>
      <c r="N88" s="310">
        <f>ROUND($N$111,2)</f>
        <v>0</v>
      </c>
      <c r="O88" s="311"/>
      <c r="P88" s="311"/>
      <c r="Q88" s="311"/>
      <c r="R88" s="100"/>
    </row>
    <row r="89" spans="2:18" s="76" customFormat="1" ht="21" customHeight="1" x14ac:dyDescent="0.35">
      <c r="B89" s="101"/>
      <c r="D89" s="113" t="s">
        <v>127</v>
      </c>
      <c r="E89" s="64"/>
      <c r="F89" s="64"/>
      <c r="G89" s="64"/>
      <c r="H89" s="64"/>
      <c r="I89" s="64"/>
      <c r="J89" s="64"/>
      <c r="K89" s="64"/>
      <c r="L89" s="64"/>
      <c r="M89" s="64"/>
      <c r="N89" s="310">
        <f>ROUND($N$122,2)</f>
        <v>0</v>
      </c>
      <c r="O89" s="311"/>
      <c r="P89" s="311"/>
      <c r="Q89" s="311"/>
      <c r="R89" s="102"/>
    </row>
    <row r="90" spans="2:18" s="76" customFormat="1" ht="21" customHeight="1" x14ac:dyDescent="0.35">
      <c r="B90" s="101"/>
      <c r="D90" s="113" t="str">
        <f>D141</f>
        <v>Ostatní materiál</v>
      </c>
      <c r="E90" s="64"/>
      <c r="F90" s="64"/>
      <c r="G90" s="64"/>
      <c r="H90" s="64"/>
      <c r="I90" s="64"/>
      <c r="J90" s="64"/>
      <c r="K90" s="64"/>
      <c r="L90" s="64"/>
      <c r="M90" s="64"/>
      <c r="N90" s="310">
        <f>ROUND($N$141,2)</f>
        <v>0</v>
      </c>
      <c r="O90" s="311"/>
      <c r="P90" s="311"/>
      <c r="Q90" s="311"/>
      <c r="R90" s="102"/>
    </row>
    <row r="91" spans="2:18" s="7" customFormat="1" ht="12" customHeight="1" x14ac:dyDescent="0.3">
      <c r="B91" s="21"/>
      <c r="R91" s="22"/>
    </row>
    <row r="92" spans="2:18" s="7" customFormat="1" ht="30" customHeight="1" x14ac:dyDescent="0.3">
      <c r="B92" s="21"/>
      <c r="C92" s="94" t="s">
        <v>141</v>
      </c>
      <c r="D92" s="30"/>
      <c r="E92" s="30"/>
      <c r="F92" s="30"/>
      <c r="G92" s="30"/>
      <c r="H92" s="30"/>
      <c r="I92" s="30"/>
      <c r="J92" s="30"/>
      <c r="K92" s="30"/>
      <c r="L92" s="286">
        <f>ROUND(SUM($N$88:$Q$90),2)</f>
        <v>0</v>
      </c>
      <c r="M92" s="287"/>
      <c r="N92" s="287"/>
      <c r="O92" s="287"/>
      <c r="P92" s="287"/>
      <c r="Q92" s="287"/>
      <c r="R92" s="22"/>
    </row>
    <row r="93" spans="2:18" s="7" customFormat="1" ht="7.5" customHeight="1" x14ac:dyDescent="0.3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5"/>
    </row>
    <row r="97" spans="2:63" s="7" customFormat="1" ht="7.5" customHeight="1" x14ac:dyDescent="0.3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8"/>
    </row>
    <row r="98" spans="2:63" s="7" customFormat="1" ht="37.5" customHeight="1" x14ac:dyDescent="0.3">
      <c r="B98" s="21"/>
      <c r="C98" s="249" t="s">
        <v>90</v>
      </c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2"/>
    </row>
    <row r="99" spans="2:63" s="7" customFormat="1" ht="7.5" customHeight="1" x14ac:dyDescent="0.3">
      <c r="B99" s="21"/>
      <c r="R99" s="22"/>
    </row>
    <row r="100" spans="2:63" s="7" customFormat="1" ht="24.95" customHeight="1" x14ac:dyDescent="0.3">
      <c r="B100" s="21"/>
      <c r="C100" s="18" t="s">
        <v>12</v>
      </c>
      <c r="F100" s="306" t="str">
        <f>$F$6</f>
        <v>Instalace FVE s akumulací pro vlastní spotřebu elektřiny ve společnosti ČEPRO, a.s. v areálu Mstětice</v>
      </c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R100" s="22"/>
    </row>
    <row r="101" spans="2:63" ht="24.95" customHeight="1" x14ac:dyDescent="0.3">
      <c r="B101" s="11"/>
      <c r="C101" s="18" t="s">
        <v>82</v>
      </c>
      <c r="F101" s="306" t="str">
        <f>F7</f>
        <v>SO 01 - Instalace FVE 1 o výkonu 124,44 kWp na jižní straně budovy č. 700/1 - Sklad a výdej olejů</v>
      </c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R101" s="12"/>
    </row>
    <row r="102" spans="2:63" s="7" customFormat="1" ht="37.5" customHeight="1" x14ac:dyDescent="0.3">
      <c r="B102" s="21"/>
      <c r="C102" s="51" t="s">
        <v>83</v>
      </c>
      <c r="F102" s="269" t="str">
        <f>F8</f>
        <v>SO 01 - Instalace FVE 1 o výkonu 124,44 kWp na jižní straně budovy č. 700/1 - Sklad a výdej olejů</v>
      </c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R102" s="22"/>
    </row>
    <row r="103" spans="2:63" s="7" customFormat="1" ht="7.5" customHeight="1" x14ac:dyDescent="0.3">
      <c r="B103" s="21"/>
      <c r="R103" s="22"/>
    </row>
    <row r="104" spans="2:63" s="7" customFormat="1" ht="18.75" customHeight="1" x14ac:dyDescent="0.3">
      <c r="B104" s="21"/>
      <c r="C104" s="18" t="s">
        <v>15</v>
      </c>
      <c r="F104" s="16" t="str">
        <f>$F$10</f>
        <v>Areál skladu ČEPRO, a.s.; Mstětice 3, 250 91 Zeleneč</v>
      </c>
      <c r="L104" s="18" t="s">
        <v>16</v>
      </c>
      <c r="M104" s="270">
        <f>IF($O$10="","",$O$10)</f>
        <v>44105</v>
      </c>
      <c r="N104" s="254"/>
      <c r="O104" s="254"/>
      <c r="P104" s="254"/>
      <c r="R104" s="22"/>
    </row>
    <row r="105" spans="2:63" s="7" customFormat="1" ht="7.5" customHeight="1" x14ac:dyDescent="0.3">
      <c r="B105" s="21"/>
      <c r="R105" s="22"/>
    </row>
    <row r="106" spans="2:63" s="7" customFormat="1" ht="15.75" customHeight="1" x14ac:dyDescent="0.3">
      <c r="B106" s="21"/>
      <c r="C106" s="18" t="s">
        <v>17</v>
      </c>
      <c r="F106" s="16" t="str">
        <f>$E$13</f>
        <v>ČEPRO, a.s., Dělnická 213/12, Holešovice, 170 00 Praha 7</v>
      </c>
      <c r="L106" s="18" t="s">
        <v>22</v>
      </c>
      <c r="M106" s="253" t="str">
        <f>$E$19</f>
        <v>YOUNG4ENERGY s.r.o.</v>
      </c>
      <c r="N106" s="254"/>
      <c r="O106" s="254"/>
      <c r="P106" s="254"/>
      <c r="Q106" s="254"/>
      <c r="R106" s="22"/>
    </row>
    <row r="107" spans="2:63" s="7" customFormat="1" ht="15" customHeight="1" x14ac:dyDescent="0.3">
      <c r="B107" s="21"/>
      <c r="C107" s="18" t="s">
        <v>20</v>
      </c>
      <c r="F107" s="16" t="str">
        <f>IF($E$16="","",$E$16)</f>
        <v>Vyplň údaj</v>
      </c>
      <c r="L107" s="18" t="s">
        <v>23</v>
      </c>
      <c r="M107" s="253" t="str">
        <f>$E$22</f>
        <v>YOUNG4ENERGY s.r.o.</v>
      </c>
      <c r="N107" s="254"/>
      <c r="O107" s="254"/>
      <c r="P107" s="254"/>
      <c r="Q107" s="254"/>
      <c r="R107" s="22"/>
    </row>
    <row r="108" spans="2:63" s="7" customFormat="1" ht="11.25" customHeight="1" x14ac:dyDescent="0.3">
      <c r="B108" s="21"/>
      <c r="R108" s="22"/>
    </row>
    <row r="109" spans="2:63" s="107" customFormat="1" ht="30" customHeight="1" x14ac:dyDescent="0.3">
      <c r="B109" s="103"/>
      <c r="C109" s="104" t="s">
        <v>91</v>
      </c>
      <c r="D109" s="105" t="s">
        <v>92</v>
      </c>
      <c r="E109" s="105" t="s">
        <v>45</v>
      </c>
      <c r="F109" s="317" t="s">
        <v>93</v>
      </c>
      <c r="G109" s="318"/>
      <c r="H109" s="318"/>
      <c r="I109" s="318"/>
      <c r="J109" s="105" t="s">
        <v>94</v>
      </c>
      <c r="K109" s="105" t="s">
        <v>95</v>
      </c>
      <c r="L109" s="317" t="s">
        <v>96</v>
      </c>
      <c r="M109" s="318"/>
      <c r="N109" s="317" t="s">
        <v>97</v>
      </c>
      <c r="O109" s="318"/>
      <c r="P109" s="318"/>
      <c r="Q109" s="319"/>
      <c r="R109" s="106"/>
      <c r="T109" s="55" t="s">
        <v>98</v>
      </c>
      <c r="U109" s="56" t="s">
        <v>27</v>
      </c>
      <c r="V109" s="56" t="s">
        <v>99</v>
      </c>
      <c r="W109" s="56" t="s">
        <v>100</v>
      </c>
      <c r="X109" s="56" t="s">
        <v>101</v>
      </c>
      <c r="Y109" s="56" t="s">
        <v>102</v>
      </c>
      <c r="Z109" s="56" t="s">
        <v>103</v>
      </c>
      <c r="AA109" s="57" t="s">
        <v>104</v>
      </c>
    </row>
    <row r="110" spans="2:63" s="7" customFormat="1" ht="30" customHeight="1" x14ac:dyDescent="0.35">
      <c r="B110" s="21"/>
      <c r="C110" s="59" t="s">
        <v>84</v>
      </c>
      <c r="N110" s="313">
        <f>N111+N141+N122</f>
        <v>0</v>
      </c>
      <c r="O110" s="254"/>
      <c r="P110" s="254"/>
      <c r="Q110" s="254"/>
      <c r="R110" s="22"/>
      <c r="T110" s="58"/>
      <c r="U110" s="35"/>
      <c r="V110" s="35"/>
      <c r="W110" s="108" t="e">
        <f>$W$111+#REF!+#REF!</f>
        <v>#REF!</v>
      </c>
      <c r="X110" s="35"/>
      <c r="Y110" s="108" t="e">
        <f>$Y$111+#REF!+#REF!</f>
        <v>#REF!</v>
      </c>
      <c r="Z110" s="35"/>
      <c r="AA110" s="109" t="e">
        <f>$AA$111+#REF!+#REF!</f>
        <v>#REF!</v>
      </c>
      <c r="BK110" s="110"/>
    </row>
    <row r="111" spans="2:63" s="112" customFormat="1" ht="24.95" customHeight="1" x14ac:dyDescent="0.35">
      <c r="B111" s="111"/>
      <c r="D111" s="113" t="s">
        <v>164</v>
      </c>
      <c r="E111" s="113"/>
      <c r="F111" s="113"/>
      <c r="G111" s="113"/>
      <c r="H111" s="113"/>
      <c r="I111" s="113"/>
      <c r="J111" s="113"/>
      <c r="K111" s="113"/>
      <c r="L111" s="113"/>
      <c r="M111" s="113"/>
      <c r="N111" s="314">
        <f>N112</f>
        <v>0</v>
      </c>
      <c r="O111" s="298"/>
      <c r="P111" s="298"/>
      <c r="Q111" s="298"/>
      <c r="R111" s="115"/>
      <c r="T111" s="116"/>
      <c r="W111" s="117" t="e">
        <f>$W$112+#REF!+$W$123+#REF!+#REF!+#REF!</f>
        <v>#REF!</v>
      </c>
      <c r="Y111" s="117" t="e">
        <f>$Y$112+#REF!+$Y$123+#REF!+#REF!+#REF!</f>
        <v>#REF!</v>
      </c>
      <c r="AA111" s="118" t="e">
        <f>$AA$112+#REF!+$AA$123+#REF!+#REF!+#REF!</f>
        <v>#REF!</v>
      </c>
      <c r="AR111" s="114"/>
      <c r="AT111" s="114"/>
      <c r="AU111" s="114"/>
      <c r="AY111" s="114"/>
      <c r="BK111" s="119"/>
    </row>
    <row r="112" spans="2:63" s="112" customFormat="1" ht="20.100000000000001" customHeight="1" x14ac:dyDescent="0.3">
      <c r="B112" s="111"/>
      <c r="D112" s="120" t="s">
        <v>165</v>
      </c>
      <c r="E112" s="120"/>
      <c r="F112" s="120"/>
      <c r="G112" s="120"/>
      <c r="H112" s="120"/>
      <c r="I112" s="120"/>
      <c r="J112" s="120"/>
      <c r="K112" s="120"/>
      <c r="L112" s="120"/>
      <c r="M112" s="120"/>
      <c r="N112" s="297">
        <f>SUM(N113:Q121)</f>
        <v>0</v>
      </c>
      <c r="O112" s="298"/>
      <c r="P112" s="298"/>
      <c r="Q112" s="298"/>
      <c r="R112" s="115"/>
      <c r="T112" s="116"/>
      <c r="W112" s="117" t="e">
        <f>SUM($W$113:$W$121)</f>
        <v>#REF!</v>
      </c>
      <c r="Y112" s="117" t="e">
        <f>SUM($Y$113:$Y$121)</f>
        <v>#REF!</v>
      </c>
      <c r="AA112" s="118" t="e">
        <f>SUM($AA$113:$AA$121)</f>
        <v>#REF!</v>
      </c>
      <c r="AR112" s="114"/>
      <c r="AT112" s="114"/>
      <c r="AU112" s="114"/>
      <c r="AY112" s="114"/>
      <c r="BK112" s="119"/>
    </row>
    <row r="113" spans="2:63" s="7" customFormat="1" ht="20.100000000000001" customHeight="1" x14ac:dyDescent="0.3">
      <c r="B113" s="21"/>
      <c r="C113" s="121">
        <v>1</v>
      </c>
      <c r="D113" s="134"/>
      <c r="E113" s="189"/>
      <c r="F113" s="292" t="s">
        <v>120</v>
      </c>
      <c r="G113" s="293" t="s">
        <v>120</v>
      </c>
      <c r="H113" s="293" t="s">
        <v>120</v>
      </c>
      <c r="I113" s="294" t="s">
        <v>120</v>
      </c>
      <c r="J113" s="122" t="s">
        <v>112</v>
      </c>
      <c r="K113" s="123">
        <v>366</v>
      </c>
      <c r="L113" s="300">
        <v>0</v>
      </c>
      <c r="M113" s="301"/>
      <c r="N113" s="288">
        <f>ROUND(L113*K113,2)</f>
        <v>0</v>
      </c>
      <c r="O113" s="289"/>
      <c r="P113" s="289"/>
      <c r="Q113" s="289"/>
      <c r="R113" s="22"/>
      <c r="T113" s="124"/>
      <c r="U113" s="28" t="s">
        <v>28</v>
      </c>
      <c r="V113" s="125">
        <v>0.497</v>
      </c>
      <c r="W113" s="125">
        <f>$V$113*$K$113</f>
        <v>181.90199999999999</v>
      </c>
      <c r="X113" s="125">
        <v>3.4000000000000002E-4</v>
      </c>
      <c r="Y113" s="125">
        <f>$X$113*$K$113</f>
        <v>0.12444000000000001</v>
      </c>
      <c r="Z113" s="125">
        <v>0</v>
      </c>
      <c r="AA113" s="126">
        <f>$Z$113*$K$113</f>
        <v>0</v>
      </c>
      <c r="BE113" s="88"/>
      <c r="BF113" s="88"/>
      <c r="BG113" s="88"/>
      <c r="BH113" s="88"/>
      <c r="BI113" s="88"/>
      <c r="BJ113" s="163"/>
      <c r="BK113" s="88"/>
    </row>
    <row r="114" spans="2:63" s="7" customFormat="1" ht="45" customHeight="1" x14ac:dyDescent="0.3">
      <c r="B114" s="21"/>
      <c r="C114" s="121">
        <f t="shared" ref="C114:C121" si="0">C113+1</f>
        <v>2</v>
      </c>
      <c r="D114" s="131"/>
      <c r="E114" s="189"/>
      <c r="F114" s="292" t="s">
        <v>208</v>
      </c>
      <c r="G114" s="293" t="s">
        <v>145</v>
      </c>
      <c r="H114" s="293" t="s">
        <v>145</v>
      </c>
      <c r="I114" s="294" t="s">
        <v>145</v>
      </c>
      <c r="J114" s="129" t="s">
        <v>112</v>
      </c>
      <c r="K114" s="123">
        <v>366</v>
      </c>
      <c r="L114" s="300">
        <v>0</v>
      </c>
      <c r="M114" s="301"/>
      <c r="N114" s="288">
        <f t="shared" ref="N114:N121" si="1">ROUND(L114*K114,2)</f>
        <v>0</v>
      </c>
      <c r="O114" s="289"/>
      <c r="P114" s="289"/>
      <c r="Q114" s="289"/>
      <c r="R114" s="22"/>
      <c r="T114" s="124"/>
      <c r="U114" s="28" t="s">
        <v>28</v>
      </c>
      <c r="V114" s="125">
        <v>0.497</v>
      </c>
      <c r="W114" s="125">
        <f>$V$114*$K$114</f>
        <v>181.90199999999999</v>
      </c>
      <c r="X114" s="125">
        <v>3.4000000000000002E-4</v>
      </c>
      <c r="Y114" s="125">
        <f>$X$114*$K$114</f>
        <v>0.12444000000000001</v>
      </c>
      <c r="Z114" s="125">
        <v>0</v>
      </c>
      <c r="AA114" s="126">
        <f>$Z$114*$K$114</f>
        <v>0</v>
      </c>
      <c r="BE114" s="88"/>
      <c r="BF114" s="88"/>
      <c r="BG114" s="88"/>
      <c r="BH114" s="88"/>
      <c r="BI114" s="88"/>
      <c r="BJ114" s="163"/>
      <c r="BK114" s="88"/>
    </row>
    <row r="115" spans="2:63" s="7" customFormat="1" ht="30" customHeight="1" x14ac:dyDescent="0.3">
      <c r="B115" s="21"/>
      <c r="C115" s="121">
        <f t="shared" si="0"/>
        <v>3</v>
      </c>
      <c r="D115" s="121"/>
      <c r="E115" s="189"/>
      <c r="F115" s="292" t="s">
        <v>193</v>
      </c>
      <c r="G115" s="293" t="s">
        <v>121</v>
      </c>
      <c r="H115" s="293" t="s">
        <v>121</v>
      </c>
      <c r="I115" s="294" t="s">
        <v>121</v>
      </c>
      <c r="J115" s="129" t="s">
        <v>112</v>
      </c>
      <c r="K115" s="123">
        <v>366</v>
      </c>
      <c r="L115" s="300">
        <v>0</v>
      </c>
      <c r="M115" s="301"/>
      <c r="N115" s="288">
        <f t="shared" si="1"/>
        <v>0</v>
      </c>
      <c r="O115" s="289"/>
      <c r="P115" s="289"/>
      <c r="Q115" s="289"/>
      <c r="R115" s="22"/>
      <c r="T115" s="124"/>
      <c r="U115" s="28" t="s">
        <v>28</v>
      </c>
      <c r="V115" s="125">
        <v>0.497</v>
      </c>
      <c r="W115" s="125">
        <f>$V$115*$K$115</f>
        <v>181.90199999999999</v>
      </c>
      <c r="X115" s="125">
        <v>3.4000000000000002E-4</v>
      </c>
      <c r="Y115" s="125">
        <f>$X$115*$K$115</f>
        <v>0.12444000000000001</v>
      </c>
      <c r="Z115" s="125">
        <v>0</v>
      </c>
      <c r="AA115" s="126">
        <f>$Z$115*$K$115</f>
        <v>0</v>
      </c>
      <c r="BE115" s="88"/>
      <c r="BF115" s="88"/>
      <c r="BG115" s="88"/>
      <c r="BH115" s="88"/>
      <c r="BI115" s="88"/>
      <c r="BJ115" s="163"/>
      <c r="BK115" s="88"/>
    </row>
    <row r="116" spans="2:63" s="7" customFormat="1" ht="30" customHeight="1" x14ac:dyDescent="0.3">
      <c r="B116" s="21"/>
      <c r="C116" s="121">
        <f t="shared" si="0"/>
        <v>4</v>
      </c>
      <c r="D116" s="121"/>
      <c r="E116" s="189"/>
      <c r="F116" s="292" t="s">
        <v>194</v>
      </c>
      <c r="G116" s="293" t="s">
        <v>122</v>
      </c>
      <c r="H116" s="293" t="s">
        <v>122</v>
      </c>
      <c r="I116" s="294" t="s">
        <v>122</v>
      </c>
      <c r="J116" s="129" t="s">
        <v>109</v>
      </c>
      <c r="K116" s="123">
        <v>1</v>
      </c>
      <c r="L116" s="300">
        <v>0</v>
      </c>
      <c r="M116" s="301"/>
      <c r="N116" s="288">
        <f t="shared" si="1"/>
        <v>0</v>
      </c>
      <c r="O116" s="289"/>
      <c r="P116" s="289"/>
      <c r="Q116" s="289"/>
      <c r="R116" s="22"/>
      <c r="T116" s="124"/>
      <c r="U116" s="28" t="s">
        <v>28</v>
      </c>
      <c r="V116" s="125">
        <v>0.497</v>
      </c>
      <c r="W116" s="125">
        <f>$V$116*$K$116</f>
        <v>0.497</v>
      </c>
      <c r="X116" s="125">
        <v>3.4000000000000002E-4</v>
      </c>
      <c r="Y116" s="125">
        <f>$X$116*$K$116</f>
        <v>3.4000000000000002E-4</v>
      </c>
      <c r="Z116" s="125">
        <v>0</v>
      </c>
      <c r="AA116" s="126">
        <f>$Z$116*$K$116</f>
        <v>0</v>
      </c>
      <c r="BE116" s="88"/>
      <c r="BF116" s="88"/>
      <c r="BG116" s="88"/>
      <c r="BH116" s="88"/>
      <c r="BI116" s="88"/>
      <c r="BJ116" s="163"/>
      <c r="BK116" s="88"/>
    </row>
    <row r="117" spans="2:63" s="194" customFormat="1" ht="60" customHeight="1" x14ac:dyDescent="0.3">
      <c r="B117" s="175"/>
      <c r="C117" s="179">
        <f>C115+1</f>
        <v>4</v>
      </c>
      <c r="D117" s="179"/>
      <c r="E117" s="189"/>
      <c r="F117" s="292" t="s">
        <v>209</v>
      </c>
      <c r="G117" s="293" t="s">
        <v>146</v>
      </c>
      <c r="H117" s="293" t="s">
        <v>146</v>
      </c>
      <c r="I117" s="294" t="s">
        <v>146</v>
      </c>
      <c r="J117" s="182" t="s">
        <v>112</v>
      </c>
      <c r="K117" s="180">
        <v>1</v>
      </c>
      <c r="L117" s="290">
        <v>0</v>
      </c>
      <c r="M117" s="291"/>
      <c r="N117" s="288">
        <f t="shared" si="1"/>
        <v>0</v>
      </c>
      <c r="O117" s="289"/>
      <c r="P117" s="289"/>
      <c r="Q117" s="289"/>
      <c r="R117" s="176"/>
      <c r="T117" s="124"/>
      <c r="U117" s="177"/>
      <c r="V117" s="181"/>
      <c r="W117" s="181"/>
      <c r="X117" s="181"/>
      <c r="Y117" s="181"/>
      <c r="Z117" s="181"/>
      <c r="AA117" s="126"/>
      <c r="BE117" s="178"/>
      <c r="BF117" s="178"/>
      <c r="BG117" s="178"/>
      <c r="BH117" s="178"/>
      <c r="BI117" s="178"/>
      <c r="BK117" s="178"/>
    </row>
    <row r="118" spans="2:63" s="162" customFormat="1" ht="60" customHeight="1" x14ac:dyDescent="0.3">
      <c r="B118" s="21"/>
      <c r="C118" s="147">
        <f>C116+1</f>
        <v>5</v>
      </c>
      <c r="D118" s="147"/>
      <c r="E118" s="189"/>
      <c r="F118" s="292" t="s">
        <v>210</v>
      </c>
      <c r="G118" s="293" t="s">
        <v>146</v>
      </c>
      <c r="H118" s="293" t="s">
        <v>146</v>
      </c>
      <c r="I118" s="294" t="s">
        <v>146</v>
      </c>
      <c r="J118" s="150" t="s">
        <v>112</v>
      </c>
      <c r="K118" s="148">
        <v>1</v>
      </c>
      <c r="L118" s="290">
        <v>0</v>
      </c>
      <c r="M118" s="291"/>
      <c r="N118" s="288">
        <f t="shared" ref="N118" si="2">ROUND(L118*K118,2)</f>
        <v>0</v>
      </c>
      <c r="O118" s="289"/>
      <c r="P118" s="289"/>
      <c r="Q118" s="289"/>
      <c r="R118" s="22"/>
      <c r="T118" s="124"/>
      <c r="U118" s="28" t="s">
        <v>28</v>
      </c>
      <c r="V118" s="125">
        <v>0.26700000000000002</v>
      </c>
      <c r="W118" s="125" t="e">
        <f>#REF!*#REF!</f>
        <v>#REF!</v>
      </c>
      <c r="X118" s="125">
        <v>1E-4</v>
      </c>
      <c r="Y118" s="125" t="e">
        <f>#REF!*#REF!</f>
        <v>#REF!</v>
      </c>
      <c r="Z118" s="125">
        <v>0</v>
      </c>
      <c r="AA118" s="126" t="e">
        <f>#REF!*#REF!</f>
        <v>#REF!</v>
      </c>
      <c r="BE118" s="88"/>
      <c r="BF118" s="88"/>
      <c r="BG118" s="88"/>
      <c r="BH118" s="88"/>
      <c r="BI118" s="88"/>
      <c r="BJ118" s="163"/>
      <c r="BK118" s="88"/>
    </row>
    <row r="119" spans="2:63" s="7" customFormat="1" ht="20.100000000000001" customHeight="1" x14ac:dyDescent="0.3">
      <c r="B119" s="21"/>
      <c r="C119" s="147">
        <f t="shared" si="0"/>
        <v>6</v>
      </c>
      <c r="D119" s="121"/>
      <c r="E119" s="189"/>
      <c r="F119" s="292" t="s">
        <v>123</v>
      </c>
      <c r="G119" s="293" t="s">
        <v>123</v>
      </c>
      <c r="H119" s="293" t="s">
        <v>123</v>
      </c>
      <c r="I119" s="294" t="s">
        <v>123</v>
      </c>
      <c r="J119" s="129" t="s">
        <v>112</v>
      </c>
      <c r="K119" s="123">
        <v>2</v>
      </c>
      <c r="L119" s="290">
        <v>0</v>
      </c>
      <c r="M119" s="291"/>
      <c r="N119" s="288">
        <f t="shared" si="1"/>
        <v>0</v>
      </c>
      <c r="O119" s="289"/>
      <c r="P119" s="289"/>
      <c r="Q119" s="289"/>
      <c r="R119" s="22"/>
      <c r="T119" s="124"/>
      <c r="U119" s="28" t="s">
        <v>28</v>
      </c>
      <c r="V119" s="125">
        <v>0.26700000000000002</v>
      </c>
      <c r="W119" s="125" t="e">
        <f>#REF!*#REF!</f>
        <v>#REF!</v>
      </c>
      <c r="X119" s="125">
        <v>1E-4</v>
      </c>
      <c r="Y119" s="125" t="e">
        <f>#REF!*#REF!</f>
        <v>#REF!</v>
      </c>
      <c r="Z119" s="125">
        <v>0</v>
      </c>
      <c r="AA119" s="126" t="e">
        <f>#REF!*#REF!</f>
        <v>#REF!</v>
      </c>
      <c r="BE119" s="88"/>
      <c r="BF119" s="88"/>
      <c r="BG119" s="88"/>
      <c r="BH119" s="88"/>
      <c r="BI119" s="88"/>
      <c r="BJ119" s="163"/>
      <c r="BK119" s="88"/>
    </row>
    <row r="120" spans="2:63" s="7" customFormat="1" ht="84.95" customHeight="1" x14ac:dyDescent="0.3">
      <c r="B120" s="21"/>
      <c r="C120" s="147">
        <f t="shared" si="0"/>
        <v>7</v>
      </c>
      <c r="D120" s="121"/>
      <c r="E120" s="189"/>
      <c r="F120" s="292" t="s">
        <v>220</v>
      </c>
      <c r="G120" s="293" t="s">
        <v>123</v>
      </c>
      <c r="H120" s="293" t="s">
        <v>123</v>
      </c>
      <c r="I120" s="294" t="s">
        <v>123</v>
      </c>
      <c r="J120" s="129" t="s">
        <v>112</v>
      </c>
      <c r="K120" s="123">
        <v>183</v>
      </c>
      <c r="L120" s="300">
        <v>0</v>
      </c>
      <c r="M120" s="301"/>
      <c r="N120" s="288">
        <f t="shared" si="1"/>
        <v>0</v>
      </c>
      <c r="O120" s="289"/>
      <c r="P120" s="289"/>
      <c r="Q120" s="289"/>
      <c r="R120" s="22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3" s="7" customFormat="1" ht="45" customHeight="1" x14ac:dyDescent="0.3">
      <c r="B121" s="21"/>
      <c r="C121" s="147">
        <f t="shared" si="0"/>
        <v>8</v>
      </c>
      <c r="D121" s="121"/>
      <c r="E121" s="189"/>
      <c r="F121" s="292" t="s">
        <v>230</v>
      </c>
      <c r="G121" s="293" t="s">
        <v>124</v>
      </c>
      <c r="H121" s="293" t="s">
        <v>124</v>
      </c>
      <c r="I121" s="294" t="s">
        <v>124</v>
      </c>
      <c r="J121" s="129" t="s">
        <v>109</v>
      </c>
      <c r="K121" s="123">
        <v>1</v>
      </c>
      <c r="L121" s="300">
        <v>0</v>
      </c>
      <c r="M121" s="301"/>
      <c r="N121" s="288">
        <f t="shared" si="1"/>
        <v>0</v>
      </c>
      <c r="O121" s="289"/>
      <c r="P121" s="289"/>
      <c r="Q121" s="289"/>
      <c r="R121" s="22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3" s="112" customFormat="1" ht="24.95" customHeight="1" x14ac:dyDescent="0.35">
      <c r="B122" s="111"/>
      <c r="D122" s="113" t="s">
        <v>127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314">
        <f>N123+N128+N131+N133+N138</f>
        <v>0</v>
      </c>
      <c r="O122" s="314"/>
      <c r="P122" s="314"/>
      <c r="Q122" s="314"/>
      <c r="R122" s="115"/>
      <c r="T122" s="116"/>
      <c r="W122" s="117"/>
      <c r="Y122" s="117"/>
      <c r="AA122" s="118"/>
      <c r="AR122" s="114"/>
      <c r="AT122" s="114"/>
      <c r="AU122" s="114"/>
      <c r="AY122" s="114"/>
      <c r="BK122" s="119"/>
    </row>
    <row r="123" spans="2:63" s="112" customFormat="1" ht="20.100000000000001" customHeight="1" x14ac:dyDescent="0.3">
      <c r="B123" s="111"/>
      <c r="D123" s="120" t="s">
        <v>129</v>
      </c>
      <c r="E123" s="120"/>
      <c r="F123" s="120"/>
      <c r="G123" s="120"/>
      <c r="H123" s="120"/>
      <c r="I123" s="120"/>
      <c r="J123" s="120"/>
      <c r="K123" s="120"/>
      <c r="L123" s="120"/>
      <c r="M123" s="120"/>
      <c r="N123" s="297">
        <f>SUM(N124:Q127)</f>
        <v>0</v>
      </c>
      <c r="O123" s="298"/>
      <c r="P123" s="298"/>
      <c r="Q123" s="298"/>
      <c r="R123" s="115"/>
      <c r="T123" s="116"/>
      <c r="W123" s="117" t="e">
        <f>SUM(#REF!)</f>
        <v>#REF!</v>
      </c>
      <c r="Y123" s="117" t="e">
        <f>SUM(#REF!)</f>
        <v>#REF!</v>
      </c>
      <c r="AA123" s="118" t="e">
        <f>SUM(#REF!)</f>
        <v>#REF!</v>
      </c>
      <c r="AR123" s="114"/>
      <c r="AT123" s="114"/>
      <c r="AU123" s="114"/>
      <c r="AY123" s="114"/>
      <c r="BK123" s="119"/>
    </row>
    <row r="124" spans="2:63" s="7" customFormat="1" ht="30" customHeight="1" x14ac:dyDescent="0.3">
      <c r="B124" s="21"/>
      <c r="C124" s="121">
        <f>C121+1</f>
        <v>9</v>
      </c>
      <c r="D124" s="121"/>
      <c r="E124" s="190"/>
      <c r="F124" s="295" t="s">
        <v>221</v>
      </c>
      <c r="G124" s="296"/>
      <c r="H124" s="296"/>
      <c r="I124" s="296"/>
      <c r="J124" s="129" t="s">
        <v>107</v>
      </c>
      <c r="K124" s="123">
        <v>1000</v>
      </c>
      <c r="L124" s="290">
        <v>0</v>
      </c>
      <c r="M124" s="291"/>
      <c r="N124" s="288">
        <f>ROUND(L124*K124,2)</f>
        <v>0</v>
      </c>
      <c r="O124" s="289"/>
      <c r="P124" s="289"/>
      <c r="Q124" s="289"/>
      <c r="R124" s="22"/>
      <c r="T124" s="124"/>
      <c r="U124" s="28"/>
      <c r="V124" s="125"/>
      <c r="W124" s="125"/>
      <c r="X124" s="125"/>
      <c r="Y124" s="125"/>
      <c r="Z124" s="125"/>
      <c r="AA124" s="126"/>
      <c r="BE124" s="88"/>
      <c r="BF124" s="88"/>
      <c r="BG124" s="88"/>
      <c r="BH124" s="88"/>
      <c r="BI124" s="88"/>
      <c r="BK124" s="88"/>
    </row>
    <row r="125" spans="2:63" s="7" customFormat="1" ht="30" customHeight="1" x14ac:dyDescent="0.3">
      <c r="B125" s="21"/>
      <c r="C125" s="121">
        <f>C124+1</f>
        <v>10</v>
      </c>
      <c r="D125" s="121"/>
      <c r="E125" s="190"/>
      <c r="F125" s="295" t="s">
        <v>222</v>
      </c>
      <c r="G125" s="296"/>
      <c r="H125" s="296"/>
      <c r="I125" s="296"/>
      <c r="J125" s="129" t="s">
        <v>107</v>
      </c>
      <c r="K125" s="123">
        <v>950</v>
      </c>
      <c r="L125" s="290">
        <v>0</v>
      </c>
      <c r="M125" s="291"/>
      <c r="N125" s="288">
        <f t="shared" ref="N125:N127" si="3">ROUND(L125*K125,2)</f>
        <v>0</v>
      </c>
      <c r="O125" s="289"/>
      <c r="P125" s="289"/>
      <c r="Q125" s="289"/>
      <c r="R125" s="22"/>
      <c r="T125" s="124"/>
      <c r="U125" s="28"/>
      <c r="V125" s="125"/>
      <c r="W125" s="125"/>
      <c r="X125" s="125"/>
      <c r="Y125" s="125"/>
      <c r="Z125" s="125"/>
      <c r="AA125" s="126"/>
      <c r="BE125" s="88"/>
      <c r="BF125" s="88"/>
      <c r="BG125" s="88"/>
      <c r="BH125" s="88"/>
      <c r="BI125" s="88"/>
      <c r="BK125" s="88"/>
    </row>
    <row r="126" spans="2:63" s="7" customFormat="1" ht="30" customHeight="1" x14ac:dyDescent="0.3">
      <c r="B126" s="21"/>
      <c r="C126" s="121">
        <f>C125+1</f>
        <v>11</v>
      </c>
      <c r="D126" s="131"/>
      <c r="E126" s="191"/>
      <c r="F126" s="295" t="s">
        <v>195</v>
      </c>
      <c r="G126" s="296"/>
      <c r="H126" s="296"/>
      <c r="I126" s="296"/>
      <c r="J126" s="129" t="s">
        <v>112</v>
      </c>
      <c r="K126" s="123">
        <v>24</v>
      </c>
      <c r="L126" s="290">
        <v>0</v>
      </c>
      <c r="M126" s="291"/>
      <c r="N126" s="288">
        <f>ROUND(L126*K126,2)</f>
        <v>0</v>
      </c>
      <c r="O126" s="289"/>
      <c r="P126" s="289"/>
      <c r="Q126" s="289"/>
      <c r="R126" s="22"/>
      <c r="T126" s="124"/>
      <c r="U126" s="28"/>
      <c r="V126" s="125"/>
      <c r="W126" s="125"/>
      <c r="X126" s="125"/>
      <c r="Y126" s="125"/>
      <c r="Z126" s="125"/>
      <c r="AA126" s="126"/>
      <c r="BE126" s="88"/>
      <c r="BF126" s="88"/>
      <c r="BG126" s="88"/>
      <c r="BH126" s="88"/>
      <c r="BI126" s="88"/>
      <c r="BK126" s="88"/>
    </row>
    <row r="127" spans="2:63" s="7" customFormat="1" ht="30" customHeight="1" x14ac:dyDescent="0.3">
      <c r="B127" s="21"/>
      <c r="C127" s="121">
        <f>C126+1</f>
        <v>12</v>
      </c>
      <c r="D127" s="131"/>
      <c r="E127" s="190"/>
      <c r="F127" s="295" t="s">
        <v>196</v>
      </c>
      <c r="G127" s="296"/>
      <c r="H127" s="296"/>
      <c r="I127" s="296"/>
      <c r="J127" s="129" t="s">
        <v>112</v>
      </c>
      <c r="K127" s="123">
        <v>24</v>
      </c>
      <c r="L127" s="290">
        <v>0</v>
      </c>
      <c r="M127" s="291"/>
      <c r="N127" s="288">
        <f t="shared" si="3"/>
        <v>0</v>
      </c>
      <c r="O127" s="289"/>
      <c r="P127" s="289"/>
      <c r="Q127" s="289"/>
      <c r="R127" s="22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3" s="112" customFormat="1" ht="20.100000000000001" customHeight="1" x14ac:dyDescent="0.3">
      <c r="B128" s="111"/>
      <c r="D128" s="120" t="s">
        <v>128</v>
      </c>
      <c r="E128" s="120"/>
      <c r="F128" s="120"/>
      <c r="G128" s="120"/>
      <c r="H128" s="120"/>
      <c r="I128" s="120"/>
      <c r="J128" s="120"/>
      <c r="K128" s="120"/>
      <c r="L128" s="120"/>
      <c r="M128" s="120"/>
      <c r="N128" s="297">
        <f>SUM(N129:Q130)</f>
        <v>0</v>
      </c>
      <c r="O128" s="298"/>
      <c r="P128" s="298"/>
      <c r="Q128" s="298"/>
      <c r="R128" s="115"/>
      <c r="T128" s="116"/>
      <c r="W128" s="117"/>
      <c r="Y128" s="117"/>
      <c r="AA128" s="118"/>
      <c r="AR128" s="114"/>
      <c r="AT128" s="114"/>
      <c r="AU128" s="114"/>
      <c r="AY128" s="114"/>
      <c r="BK128" s="119"/>
    </row>
    <row r="129" spans="2:63" s="7" customFormat="1" ht="30" customHeight="1" x14ac:dyDescent="0.3">
      <c r="B129" s="21"/>
      <c r="C129" s="121">
        <f>C127+1</f>
        <v>13</v>
      </c>
      <c r="D129" s="121"/>
      <c r="E129" s="190"/>
      <c r="F129" s="292" t="s">
        <v>223</v>
      </c>
      <c r="G129" s="293" t="s">
        <v>147</v>
      </c>
      <c r="H129" s="293" t="s">
        <v>147</v>
      </c>
      <c r="I129" s="294" t="s">
        <v>147</v>
      </c>
      <c r="J129" s="129" t="s">
        <v>109</v>
      </c>
      <c r="K129" s="123">
        <v>1</v>
      </c>
      <c r="L129" s="290">
        <v>0</v>
      </c>
      <c r="M129" s="291"/>
      <c r="N129" s="288">
        <f>ROUND(L129*K129,2)</f>
        <v>0</v>
      </c>
      <c r="O129" s="289"/>
      <c r="P129" s="289"/>
      <c r="Q129" s="289"/>
      <c r="R129" s="22"/>
      <c r="T129" s="124"/>
      <c r="U129" s="28"/>
      <c r="V129" s="125"/>
      <c r="W129" s="125"/>
      <c r="X129" s="125"/>
      <c r="Y129" s="125"/>
      <c r="Z129" s="125"/>
      <c r="AA129" s="126"/>
      <c r="BE129" s="88"/>
      <c r="BF129" s="88"/>
      <c r="BG129" s="88"/>
      <c r="BH129" s="88"/>
      <c r="BI129" s="88"/>
      <c r="BK129" s="88"/>
    </row>
    <row r="130" spans="2:63" s="162" customFormat="1" ht="30" customHeight="1" x14ac:dyDescent="0.3">
      <c r="B130" s="21"/>
      <c r="C130" s="147">
        <f>C129+1</f>
        <v>14</v>
      </c>
      <c r="D130" s="147"/>
      <c r="E130" s="190"/>
      <c r="F130" s="292" t="s">
        <v>224</v>
      </c>
      <c r="G130" s="293" t="s">
        <v>147</v>
      </c>
      <c r="H130" s="293" t="s">
        <v>147</v>
      </c>
      <c r="I130" s="294" t="s">
        <v>147</v>
      </c>
      <c r="J130" s="150" t="s">
        <v>109</v>
      </c>
      <c r="K130" s="148">
        <v>1</v>
      </c>
      <c r="L130" s="290">
        <v>0</v>
      </c>
      <c r="M130" s="291"/>
      <c r="N130" s="288">
        <f>ROUND(L130*K130,2)</f>
        <v>0</v>
      </c>
      <c r="O130" s="289"/>
      <c r="P130" s="289"/>
      <c r="Q130" s="289"/>
      <c r="R130" s="22"/>
      <c r="T130" s="124"/>
      <c r="U130" s="28"/>
      <c r="V130" s="125"/>
      <c r="W130" s="125"/>
      <c r="X130" s="125"/>
      <c r="Y130" s="125"/>
      <c r="Z130" s="125"/>
      <c r="AA130" s="126"/>
      <c r="BE130" s="88"/>
      <c r="BF130" s="88"/>
      <c r="BG130" s="88"/>
      <c r="BH130" s="88"/>
      <c r="BI130" s="88"/>
      <c r="BK130" s="88"/>
    </row>
    <row r="131" spans="2:63" s="162" customFormat="1" ht="20.100000000000001" customHeight="1" x14ac:dyDescent="0.3">
      <c r="B131" s="21"/>
      <c r="C131" s="141"/>
      <c r="D131" s="138" t="s">
        <v>262</v>
      </c>
      <c r="E131" s="138"/>
      <c r="F131" s="138"/>
      <c r="G131" s="138"/>
      <c r="H131" s="138"/>
      <c r="I131" s="138"/>
      <c r="J131" s="138"/>
      <c r="K131" s="138"/>
      <c r="L131" s="138"/>
      <c r="M131" s="138"/>
      <c r="N131" s="297">
        <f>SUM(N132)</f>
        <v>0</v>
      </c>
      <c r="O131" s="298"/>
      <c r="P131" s="298"/>
      <c r="Q131" s="298"/>
      <c r="R131" s="22"/>
      <c r="T131" s="133"/>
      <c r="U131" s="28"/>
      <c r="V131" s="125"/>
      <c r="W131" s="125"/>
      <c r="X131" s="125"/>
      <c r="Y131" s="125"/>
      <c r="Z131" s="125"/>
      <c r="AA131" s="126"/>
      <c r="BE131" s="88"/>
      <c r="BF131" s="88"/>
      <c r="BG131" s="88"/>
      <c r="BH131" s="88"/>
      <c r="BI131" s="88"/>
      <c r="BK131" s="88"/>
    </row>
    <row r="132" spans="2:63" s="162" customFormat="1" ht="75" customHeight="1" x14ac:dyDescent="0.3">
      <c r="B132" s="21"/>
      <c r="C132" s="147">
        <f>C130</f>
        <v>14</v>
      </c>
      <c r="D132" s="147"/>
      <c r="E132" s="190"/>
      <c r="F132" s="295" t="s">
        <v>191</v>
      </c>
      <c r="G132" s="296" t="s">
        <v>168</v>
      </c>
      <c r="H132" s="296" t="s">
        <v>168</v>
      </c>
      <c r="I132" s="296" t="s">
        <v>168</v>
      </c>
      <c r="J132" s="150" t="s">
        <v>109</v>
      </c>
      <c r="K132" s="148">
        <v>1</v>
      </c>
      <c r="L132" s="290">
        <v>0</v>
      </c>
      <c r="M132" s="291"/>
      <c r="N132" s="288">
        <f>ROUND(L132*K132,2)</f>
        <v>0</v>
      </c>
      <c r="O132" s="289"/>
      <c r="P132" s="289"/>
      <c r="Q132" s="289"/>
      <c r="R132" s="22"/>
      <c r="T132" s="124"/>
      <c r="U132" s="28"/>
      <c r="V132" s="125"/>
      <c r="W132" s="125"/>
      <c r="X132" s="125"/>
      <c r="Y132" s="125"/>
      <c r="Z132" s="125"/>
      <c r="AA132" s="126"/>
      <c r="BE132" s="88"/>
      <c r="BF132" s="88"/>
      <c r="BG132" s="88"/>
      <c r="BH132" s="88"/>
      <c r="BI132" s="88"/>
      <c r="BK132" s="88"/>
    </row>
    <row r="133" spans="2:63" s="7" customFormat="1" ht="20.100000000000001" customHeight="1" x14ac:dyDescent="0.3">
      <c r="B133" s="21"/>
      <c r="C133" s="112"/>
      <c r="D133" s="120" t="s">
        <v>263</v>
      </c>
      <c r="E133" s="120"/>
      <c r="F133" s="120"/>
      <c r="G133" s="120"/>
      <c r="H133" s="120"/>
      <c r="I133" s="120"/>
      <c r="J133" s="120"/>
      <c r="K133" s="120"/>
      <c r="L133" s="120"/>
      <c r="M133" s="120"/>
      <c r="N133" s="297">
        <f>SUM(N134:Q137)</f>
        <v>0</v>
      </c>
      <c r="O133" s="298"/>
      <c r="P133" s="298"/>
      <c r="Q133" s="298"/>
      <c r="R133" s="22"/>
      <c r="T133" s="133"/>
      <c r="U133" s="28"/>
      <c r="V133" s="125"/>
      <c r="W133" s="125"/>
      <c r="X133" s="125"/>
      <c r="Y133" s="125"/>
      <c r="Z133" s="125"/>
      <c r="AA133" s="126"/>
      <c r="BE133" s="88"/>
      <c r="BF133" s="88"/>
      <c r="BG133" s="88"/>
      <c r="BH133" s="88"/>
      <c r="BI133" s="88"/>
      <c r="BK133" s="88"/>
    </row>
    <row r="134" spans="2:63" s="162" customFormat="1" ht="30" customHeight="1" x14ac:dyDescent="0.3">
      <c r="B134" s="21"/>
      <c r="C134" s="147">
        <f>C132+1</f>
        <v>15</v>
      </c>
      <c r="D134" s="147"/>
      <c r="E134" s="190"/>
      <c r="F134" s="292" t="s">
        <v>234</v>
      </c>
      <c r="G134" s="293" t="s">
        <v>170</v>
      </c>
      <c r="H134" s="293" t="s">
        <v>170</v>
      </c>
      <c r="I134" s="294" t="s">
        <v>170</v>
      </c>
      <c r="J134" s="150" t="s">
        <v>107</v>
      </c>
      <c r="K134" s="148">
        <v>5</v>
      </c>
      <c r="L134" s="290">
        <v>0</v>
      </c>
      <c r="M134" s="291"/>
      <c r="N134" s="288">
        <f>ROUND(L134*K134,2)</f>
        <v>0</v>
      </c>
      <c r="O134" s="289"/>
      <c r="P134" s="289"/>
      <c r="Q134" s="289"/>
      <c r="R134" s="22"/>
      <c r="T134" s="124"/>
      <c r="U134" s="28"/>
      <c r="V134" s="125"/>
      <c r="W134" s="125"/>
      <c r="X134" s="125"/>
      <c r="Y134" s="125"/>
      <c r="Z134" s="125"/>
      <c r="AA134" s="126"/>
      <c r="BE134" s="88"/>
      <c r="BF134" s="88"/>
      <c r="BG134" s="88"/>
      <c r="BH134" s="88"/>
      <c r="BI134" s="88"/>
      <c r="BK134" s="88"/>
    </row>
    <row r="135" spans="2:63" s="7" customFormat="1" ht="30" customHeight="1" x14ac:dyDescent="0.3">
      <c r="B135" s="21"/>
      <c r="C135" s="147">
        <f>C134+1</f>
        <v>16</v>
      </c>
      <c r="D135" s="121"/>
      <c r="E135" s="190"/>
      <c r="F135" s="292" t="s">
        <v>201</v>
      </c>
      <c r="G135" s="293" t="s">
        <v>150</v>
      </c>
      <c r="H135" s="293" t="s">
        <v>150</v>
      </c>
      <c r="I135" s="294" t="s">
        <v>150</v>
      </c>
      <c r="J135" s="129" t="s">
        <v>107</v>
      </c>
      <c r="K135" s="123">
        <v>10</v>
      </c>
      <c r="L135" s="290">
        <v>0</v>
      </c>
      <c r="M135" s="291"/>
      <c r="N135" s="288">
        <f>ROUND(L135*K135,2)</f>
        <v>0</v>
      </c>
      <c r="O135" s="289"/>
      <c r="P135" s="289"/>
      <c r="Q135" s="289"/>
      <c r="R135" s="22"/>
      <c r="T135" s="124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62" customFormat="1" ht="30" customHeight="1" x14ac:dyDescent="0.3">
      <c r="B136" s="21"/>
      <c r="C136" s="147">
        <f>C135+1</f>
        <v>17</v>
      </c>
      <c r="D136" s="147"/>
      <c r="E136" s="190"/>
      <c r="F136" s="292" t="s">
        <v>204</v>
      </c>
      <c r="G136" s="293" t="s">
        <v>135</v>
      </c>
      <c r="H136" s="293" t="s">
        <v>135</v>
      </c>
      <c r="I136" s="294" t="s">
        <v>135</v>
      </c>
      <c r="J136" s="182" t="s">
        <v>107</v>
      </c>
      <c r="K136" s="180">
        <v>5</v>
      </c>
      <c r="L136" s="290">
        <v>0</v>
      </c>
      <c r="M136" s="291"/>
      <c r="N136" s="288">
        <f t="shared" ref="N136:N137" si="4">ROUND(L136*K136,2)</f>
        <v>0</v>
      </c>
      <c r="O136" s="289"/>
      <c r="P136" s="289"/>
      <c r="Q136" s="289"/>
      <c r="R136" s="22"/>
      <c r="T136" s="124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62" customFormat="1" ht="30" customHeight="1" x14ac:dyDescent="0.3">
      <c r="B137" s="21"/>
      <c r="C137" s="147">
        <f>C136+1</f>
        <v>18</v>
      </c>
      <c r="D137" s="147"/>
      <c r="E137" s="190"/>
      <c r="F137" s="292" t="s">
        <v>207</v>
      </c>
      <c r="G137" s="293" t="s">
        <v>135</v>
      </c>
      <c r="H137" s="293" t="s">
        <v>135</v>
      </c>
      <c r="I137" s="294" t="s">
        <v>135</v>
      </c>
      <c r="J137" s="150" t="s">
        <v>107</v>
      </c>
      <c r="K137" s="180">
        <v>5</v>
      </c>
      <c r="L137" s="290">
        <v>0</v>
      </c>
      <c r="M137" s="291"/>
      <c r="N137" s="288">
        <f t="shared" si="4"/>
        <v>0</v>
      </c>
      <c r="O137" s="289"/>
      <c r="P137" s="289"/>
      <c r="Q137" s="289"/>
      <c r="R137" s="22"/>
      <c r="T137" s="124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7" customFormat="1" ht="20.100000000000001" customHeight="1" x14ac:dyDescent="0.3">
      <c r="B138" s="21"/>
      <c r="C138" s="132"/>
      <c r="D138" s="120" t="s">
        <v>264</v>
      </c>
      <c r="E138" s="120"/>
      <c r="F138" s="199"/>
      <c r="G138" s="199"/>
      <c r="H138" s="199"/>
      <c r="I138" s="199"/>
      <c r="J138" s="120"/>
      <c r="K138" s="120"/>
      <c r="L138" s="120"/>
      <c r="M138" s="120"/>
      <c r="N138" s="297">
        <f>SUM(N139:Q140)</f>
        <v>0</v>
      </c>
      <c r="O138" s="298"/>
      <c r="P138" s="298"/>
      <c r="Q138" s="298"/>
      <c r="R138" s="22"/>
      <c r="T138" s="133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2:63" s="7" customFormat="1" ht="20.100000000000001" customHeight="1" x14ac:dyDescent="0.3">
      <c r="B139" s="21"/>
      <c r="C139" s="121">
        <f>C137</f>
        <v>18</v>
      </c>
      <c r="D139" s="121"/>
      <c r="E139" s="190"/>
      <c r="F139" s="295" t="s">
        <v>229</v>
      </c>
      <c r="G139" s="296" t="s">
        <v>151</v>
      </c>
      <c r="H139" s="296" t="s">
        <v>151</v>
      </c>
      <c r="I139" s="296" t="s">
        <v>151</v>
      </c>
      <c r="J139" s="129" t="s">
        <v>107</v>
      </c>
      <c r="K139" s="123">
        <v>15</v>
      </c>
      <c r="L139" s="290">
        <v>0</v>
      </c>
      <c r="M139" s="291"/>
      <c r="N139" s="288">
        <f>ROUND(L139*K139,2)</f>
        <v>0</v>
      </c>
      <c r="O139" s="289"/>
      <c r="P139" s="289"/>
      <c r="Q139" s="289"/>
      <c r="R139" s="22"/>
      <c r="T139" s="124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2:63" s="7" customFormat="1" ht="20.100000000000001" customHeight="1" x14ac:dyDescent="0.3">
      <c r="B140" s="21"/>
      <c r="C140" s="121">
        <f>C139+1</f>
        <v>19</v>
      </c>
      <c r="D140" s="121"/>
      <c r="E140" s="190"/>
      <c r="F140" s="295" t="s">
        <v>231</v>
      </c>
      <c r="G140" s="296" t="s">
        <v>152</v>
      </c>
      <c r="H140" s="296" t="s">
        <v>152</v>
      </c>
      <c r="I140" s="296" t="s">
        <v>152</v>
      </c>
      <c r="J140" s="129" t="s">
        <v>107</v>
      </c>
      <c r="K140" s="123">
        <v>13</v>
      </c>
      <c r="L140" s="290">
        <v>0</v>
      </c>
      <c r="M140" s="291"/>
      <c r="N140" s="288">
        <f>ROUND(L140*K140,2)</f>
        <v>0</v>
      </c>
      <c r="O140" s="289"/>
      <c r="P140" s="289"/>
      <c r="Q140" s="289"/>
      <c r="R140" s="22"/>
      <c r="T140" s="124"/>
      <c r="U140" s="28"/>
      <c r="V140" s="125"/>
      <c r="W140" s="125"/>
      <c r="X140" s="125"/>
      <c r="Y140" s="125"/>
      <c r="Z140" s="125"/>
      <c r="AA140" s="126"/>
      <c r="BE140" s="88"/>
      <c r="BF140" s="88"/>
      <c r="BG140" s="88"/>
      <c r="BH140" s="88"/>
      <c r="BI140" s="88"/>
      <c r="BK140" s="88"/>
    </row>
    <row r="141" spans="2:63" s="112" customFormat="1" ht="24.95" customHeight="1" x14ac:dyDescent="0.35">
      <c r="B141" s="111"/>
      <c r="D141" s="113" t="s">
        <v>144</v>
      </c>
      <c r="E141" s="113"/>
      <c r="F141" s="113"/>
      <c r="G141" s="113"/>
      <c r="H141" s="113"/>
      <c r="I141" s="113"/>
      <c r="J141" s="113"/>
      <c r="K141" s="113"/>
      <c r="L141" s="113"/>
      <c r="M141" s="113"/>
      <c r="N141" s="314">
        <f>N155+N153+N142+N151</f>
        <v>0</v>
      </c>
      <c r="O141" s="314"/>
      <c r="P141" s="314"/>
      <c r="Q141" s="314"/>
      <c r="R141" s="115"/>
      <c r="T141" s="116"/>
      <c r="W141" s="117"/>
      <c r="Y141" s="117"/>
      <c r="AA141" s="118"/>
      <c r="AR141" s="114"/>
      <c r="AT141" s="114"/>
      <c r="AU141" s="114"/>
      <c r="AY141" s="114"/>
      <c r="BK141" s="119"/>
    </row>
    <row r="142" spans="2:63" s="112" customFormat="1" ht="20.100000000000001" customHeight="1" x14ac:dyDescent="0.3">
      <c r="B142" s="111"/>
      <c r="D142" s="120" t="s">
        <v>130</v>
      </c>
      <c r="E142" s="120"/>
      <c r="F142" s="120"/>
      <c r="G142" s="120"/>
      <c r="H142" s="120"/>
      <c r="I142" s="120"/>
      <c r="J142" s="120"/>
      <c r="K142" s="120"/>
      <c r="L142" s="120"/>
      <c r="M142" s="120"/>
      <c r="N142" s="297">
        <f>SUM(N143:Q150)</f>
        <v>0</v>
      </c>
      <c r="O142" s="298"/>
      <c r="P142" s="298"/>
      <c r="Q142" s="298"/>
      <c r="R142" s="115"/>
      <c r="T142" s="116"/>
      <c r="W142" s="117"/>
      <c r="Y142" s="117"/>
      <c r="AA142" s="118"/>
      <c r="AR142" s="114"/>
      <c r="AT142" s="114"/>
      <c r="AU142" s="114"/>
      <c r="AY142" s="114"/>
      <c r="BK142" s="119"/>
    </row>
    <row r="143" spans="2:63" s="197" customFormat="1" ht="20.100000000000001" customHeight="1" x14ac:dyDescent="0.3">
      <c r="B143" s="175"/>
      <c r="C143" s="179">
        <f>C140+1</f>
        <v>20</v>
      </c>
      <c r="D143" s="179"/>
      <c r="E143" s="190"/>
      <c r="F143" s="295" t="s">
        <v>235</v>
      </c>
      <c r="G143" s="309" t="s">
        <v>153</v>
      </c>
      <c r="H143" s="309" t="s">
        <v>153</v>
      </c>
      <c r="I143" s="309" t="s">
        <v>153</v>
      </c>
      <c r="J143" s="182" t="s">
        <v>112</v>
      </c>
      <c r="K143" s="180">
        <v>2</v>
      </c>
      <c r="L143" s="290">
        <v>0</v>
      </c>
      <c r="M143" s="291"/>
      <c r="N143" s="288">
        <f t="shared" ref="N143:N146" si="5">ROUND(L143*K143,2)</f>
        <v>0</v>
      </c>
      <c r="O143" s="289"/>
      <c r="P143" s="289"/>
      <c r="Q143" s="289"/>
      <c r="R143" s="176"/>
      <c r="T143" s="124"/>
      <c r="U143" s="177"/>
      <c r="V143" s="181"/>
      <c r="W143" s="181"/>
      <c r="X143" s="181"/>
      <c r="Y143" s="181"/>
      <c r="Z143" s="181"/>
      <c r="AA143" s="126"/>
      <c r="BE143" s="178"/>
      <c r="BF143" s="178"/>
      <c r="BG143" s="178"/>
      <c r="BH143" s="178"/>
      <c r="BI143" s="178"/>
      <c r="BK143" s="178"/>
    </row>
    <row r="144" spans="2:63" s="162" customFormat="1" ht="20.100000000000001" customHeight="1" x14ac:dyDescent="0.3">
      <c r="B144" s="21"/>
      <c r="C144" s="147">
        <f>C143+1</f>
        <v>21</v>
      </c>
      <c r="D144" s="147"/>
      <c r="E144" s="190"/>
      <c r="F144" s="295" t="s">
        <v>236</v>
      </c>
      <c r="G144" s="309" t="s">
        <v>153</v>
      </c>
      <c r="H144" s="309" t="s">
        <v>153</v>
      </c>
      <c r="I144" s="309" t="s">
        <v>153</v>
      </c>
      <c r="J144" s="150" t="s">
        <v>112</v>
      </c>
      <c r="K144" s="148">
        <v>2</v>
      </c>
      <c r="L144" s="290">
        <v>0</v>
      </c>
      <c r="M144" s="291"/>
      <c r="N144" s="288">
        <f t="shared" si="5"/>
        <v>0</v>
      </c>
      <c r="O144" s="289"/>
      <c r="P144" s="289"/>
      <c r="Q144" s="289"/>
      <c r="R144" s="22"/>
      <c r="T144" s="124"/>
      <c r="U144" s="28"/>
      <c r="V144" s="125"/>
      <c r="W144" s="125"/>
      <c r="X144" s="125"/>
      <c r="Y144" s="125"/>
      <c r="Z144" s="125"/>
      <c r="AA144" s="126"/>
      <c r="BE144" s="88"/>
      <c r="BF144" s="88"/>
      <c r="BG144" s="88"/>
      <c r="BH144" s="88"/>
      <c r="BI144" s="88"/>
      <c r="BK144" s="88"/>
    </row>
    <row r="145" spans="1:63" s="162" customFormat="1" ht="20.100000000000001" customHeight="1" x14ac:dyDescent="0.3">
      <c r="B145" s="21"/>
      <c r="C145" s="147">
        <f t="shared" ref="C145:C148" si="6">C144+1</f>
        <v>22</v>
      </c>
      <c r="D145" s="147"/>
      <c r="E145" s="190"/>
      <c r="F145" s="292" t="s">
        <v>237</v>
      </c>
      <c r="G145" s="293" t="s">
        <v>153</v>
      </c>
      <c r="H145" s="293" t="s">
        <v>153</v>
      </c>
      <c r="I145" s="294" t="s">
        <v>153</v>
      </c>
      <c r="J145" s="150" t="s">
        <v>112</v>
      </c>
      <c r="K145" s="148">
        <v>2</v>
      </c>
      <c r="L145" s="290">
        <v>0</v>
      </c>
      <c r="M145" s="291"/>
      <c r="N145" s="302">
        <f t="shared" si="5"/>
        <v>0</v>
      </c>
      <c r="O145" s="303"/>
      <c r="P145" s="303"/>
      <c r="Q145" s="304"/>
      <c r="R145" s="22"/>
      <c r="T145" s="124"/>
      <c r="U145" s="28"/>
      <c r="V145" s="125"/>
      <c r="W145" s="125"/>
      <c r="X145" s="125"/>
      <c r="Y145" s="125"/>
      <c r="Z145" s="125"/>
      <c r="AA145" s="126"/>
      <c r="BE145" s="88"/>
      <c r="BF145" s="88"/>
      <c r="BG145" s="88"/>
      <c r="BH145" s="88"/>
      <c r="BI145" s="88"/>
      <c r="BK145" s="88"/>
    </row>
    <row r="146" spans="1:63" s="7" customFormat="1" ht="20.100000000000001" customHeight="1" x14ac:dyDescent="0.3">
      <c r="B146" s="21"/>
      <c r="C146" s="147">
        <f>C145+1</f>
        <v>23</v>
      </c>
      <c r="D146" s="121"/>
      <c r="E146" s="190"/>
      <c r="F146" s="295" t="s">
        <v>245</v>
      </c>
      <c r="G146" s="309" t="s">
        <v>153</v>
      </c>
      <c r="H146" s="309" t="s">
        <v>153</v>
      </c>
      <c r="I146" s="309" t="s">
        <v>153</v>
      </c>
      <c r="J146" s="129" t="s">
        <v>112</v>
      </c>
      <c r="K146" s="123">
        <v>2</v>
      </c>
      <c r="L146" s="290">
        <v>0</v>
      </c>
      <c r="M146" s="291"/>
      <c r="N146" s="288">
        <f t="shared" si="5"/>
        <v>0</v>
      </c>
      <c r="O146" s="289"/>
      <c r="P146" s="289"/>
      <c r="Q146" s="289"/>
      <c r="R146" s="22"/>
      <c r="T146" s="124"/>
      <c r="U146" s="28"/>
      <c r="V146" s="125"/>
      <c r="W146" s="125"/>
      <c r="X146" s="125"/>
      <c r="Y146" s="125"/>
      <c r="Z146" s="125"/>
      <c r="AA146" s="126"/>
      <c r="BE146" s="88"/>
      <c r="BF146" s="88"/>
      <c r="BG146" s="88"/>
      <c r="BH146" s="88"/>
      <c r="BI146" s="88"/>
      <c r="BK146" s="88"/>
    </row>
    <row r="147" spans="1:63" s="7" customFormat="1" ht="35.1" customHeight="1" x14ac:dyDescent="0.3">
      <c r="B147" s="21"/>
      <c r="C147" s="121">
        <f>C146+1</f>
        <v>24</v>
      </c>
      <c r="D147" s="121"/>
      <c r="E147" s="190"/>
      <c r="F147" s="295" t="s">
        <v>199</v>
      </c>
      <c r="G147" s="296" t="s">
        <v>155</v>
      </c>
      <c r="H147" s="296" t="s">
        <v>155</v>
      </c>
      <c r="I147" s="296" t="s">
        <v>155</v>
      </c>
      <c r="J147" s="129" t="s">
        <v>112</v>
      </c>
      <c r="K147" s="180">
        <v>18</v>
      </c>
      <c r="L147" s="290">
        <v>0</v>
      </c>
      <c r="M147" s="291"/>
      <c r="N147" s="288">
        <f t="shared" ref="N147:N148" si="7">ROUND(L147*K147,2)</f>
        <v>0</v>
      </c>
      <c r="O147" s="289"/>
      <c r="P147" s="289"/>
      <c r="Q147" s="289"/>
      <c r="R147" s="22"/>
      <c r="T147" s="124"/>
      <c r="U147" s="28"/>
      <c r="V147" s="125"/>
      <c r="W147" s="125"/>
      <c r="X147" s="125"/>
      <c r="Y147" s="125"/>
      <c r="Z147" s="125"/>
      <c r="AA147" s="126"/>
      <c r="BE147" s="88"/>
      <c r="BF147" s="88"/>
      <c r="BG147" s="88"/>
      <c r="BH147" s="88"/>
      <c r="BI147" s="88"/>
      <c r="BK147" s="88"/>
    </row>
    <row r="148" spans="1:63" s="7" customFormat="1" ht="35.1" customHeight="1" x14ac:dyDescent="0.3">
      <c r="B148" s="21"/>
      <c r="C148" s="121">
        <f t="shared" si="6"/>
        <v>25</v>
      </c>
      <c r="D148" s="121"/>
      <c r="E148" s="190"/>
      <c r="F148" s="295" t="s">
        <v>200</v>
      </c>
      <c r="G148" s="296" t="s">
        <v>156</v>
      </c>
      <c r="H148" s="296" t="s">
        <v>156</v>
      </c>
      <c r="I148" s="296" t="s">
        <v>156</v>
      </c>
      <c r="J148" s="129" t="s">
        <v>112</v>
      </c>
      <c r="K148" s="180">
        <v>14</v>
      </c>
      <c r="L148" s="290">
        <v>0</v>
      </c>
      <c r="M148" s="291"/>
      <c r="N148" s="288">
        <f t="shared" si="7"/>
        <v>0</v>
      </c>
      <c r="O148" s="289"/>
      <c r="P148" s="289"/>
      <c r="Q148" s="289"/>
      <c r="R148" s="22"/>
      <c r="T148" s="124"/>
      <c r="U148" s="28"/>
      <c r="V148" s="125"/>
      <c r="W148" s="125"/>
      <c r="X148" s="125"/>
      <c r="Y148" s="125"/>
      <c r="Z148" s="125"/>
      <c r="AA148" s="126"/>
      <c r="BE148" s="88"/>
      <c r="BF148" s="88"/>
      <c r="BG148" s="88"/>
      <c r="BH148" s="88"/>
      <c r="BI148" s="88"/>
      <c r="BK148" s="88"/>
    </row>
    <row r="149" spans="1:63" s="7" customFormat="1" ht="35.1" customHeight="1" x14ac:dyDescent="0.3">
      <c r="B149" s="21"/>
      <c r="C149" s="121">
        <f>C148+1</f>
        <v>26</v>
      </c>
      <c r="D149" s="121"/>
      <c r="E149" s="190"/>
      <c r="F149" s="295" t="s">
        <v>219</v>
      </c>
      <c r="G149" s="296" t="s">
        <v>125</v>
      </c>
      <c r="H149" s="296" t="s">
        <v>125</v>
      </c>
      <c r="I149" s="296" t="s">
        <v>125</v>
      </c>
      <c r="J149" s="129" t="s">
        <v>112</v>
      </c>
      <c r="K149" s="123">
        <v>10</v>
      </c>
      <c r="L149" s="300">
        <v>0</v>
      </c>
      <c r="M149" s="301"/>
      <c r="N149" s="302">
        <f>ROUND(L149*K149,2)</f>
        <v>0</v>
      </c>
      <c r="O149" s="303"/>
      <c r="P149" s="303"/>
      <c r="Q149" s="304"/>
      <c r="R149" s="22"/>
      <c r="T149" s="124"/>
      <c r="U149" s="28"/>
      <c r="V149" s="125"/>
      <c r="W149" s="125"/>
      <c r="X149" s="125"/>
      <c r="Y149" s="125"/>
      <c r="Z149" s="125"/>
      <c r="AA149" s="126"/>
      <c r="BE149" s="88"/>
      <c r="BF149" s="88"/>
      <c r="BG149" s="88"/>
      <c r="BH149" s="88"/>
      <c r="BI149" s="88"/>
      <c r="BK149" s="88"/>
    </row>
    <row r="150" spans="1:63" s="7" customFormat="1" ht="50.1" customHeight="1" x14ac:dyDescent="0.3">
      <c r="B150" s="21"/>
      <c r="C150" s="121">
        <f>C149+1</f>
        <v>27</v>
      </c>
      <c r="D150" s="121"/>
      <c r="E150" s="190"/>
      <c r="F150" s="295" t="s">
        <v>227</v>
      </c>
      <c r="G150" s="296" t="s">
        <v>126</v>
      </c>
      <c r="H150" s="296" t="s">
        <v>126</v>
      </c>
      <c r="I150" s="296" t="s">
        <v>126</v>
      </c>
      <c r="J150" s="129" t="s">
        <v>112</v>
      </c>
      <c r="K150" s="123">
        <v>1</v>
      </c>
      <c r="L150" s="290">
        <v>0</v>
      </c>
      <c r="M150" s="291"/>
      <c r="N150" s="288">
        <f>ROUND(L150*K150,2)</f>
        <v>0</v>
      </c>
      <c r="O150" s="289"/>
      <c r="P150" s="289"/>
      <c r="Q150" s="289"/>
      <c r="R150" s="22"/>
      <c r="T150" s="124"/>
      <c r="U150" s="28"/>
      <c r="V150" s="125"/>
      <c r="W150" s="125"/>
      <c r="X150" s="125"/>
      <c r="Y150" s="125"/>
      <c r="Z150" s="125"/>
      <c r="AA150" s="126"/>
      <c r="BE150" s="88"/>
      <c r="BF150" s="88"/>
      <c r="BG150" s="88"/>
      <c r="BH150" s="88"/>
      <c r="BI150" s="88"/>
      <c r="BK150" s="88"/>
    </row>
    <row r="151" spans="1:63" s="112" customFormat="1" ht="20.100000000000001" customHeight="1" x14ac:dyDescent="0.3">
      <c r="B151" s="111"/>
      <c r="D151" s="120" t="s">
        <v>131</v>
      </c>
      <c r="E151" s="120"/>
      <c r="F151" s="199"/>
      <c r="G151" s="199"/>
      <c r="H151" s="199"/>
      <c r="I151" s="199"/>
      <c r="J151" s="120"/>
      <c r="K151" s="120"/>
      <c r="L151" s="120"/>
      <c r="M151" s="120"/>
      <c r="N151" s="297">
        <f>SUM(N152:Q152)</f>
        <v>0</v>
      </c>
      <c r="O151" s="298"/>
      <c r="P151" s="298"/>
      <c r="Q151" s="298"/>
      <c r="R151" s="115"/>
      <c r="T151" s="116"/>
      <c r="W151" s="117"/>
      <c r="Y151" s="117"/>
      <c r="AA151" s="118"/>
      <c r="AR151" s="114"/>
      <c r="AT151" s="114"/>
      <c r="AU151" s="114"/>
      <c r="AY151" s="114"/>
      <c r="BK151" s="119"/>
    </row>
    <row r="152" spans="1:63" s="7" customFormat="1" ht="35.1" customHeight="1" x14ac:dyDescent="0.3">
      <c r="B152" s="21"/>
      <c r="C152" s="121">
        <f>C150+1</f>
        <v>28</v>
      </c>
      <c r="D152" s="121"/>
      <c r="E152" s="190"/>
      <c r="F152" s="295" t="s">
        <v>225</v>
      </c>
      <c r="G152" s="296"/>
      <c r="H152" s="296"/>
      <c r="I152" s="296"/>
      <c r="J152" s="129" t="s">
        <v>109</v>
      </c>
      <c r="K152" s="123">
        <v>1</v>
      </c>
      <c r="L152" s="290">
        <v>0</v>
      </c>
      <c r="M152" s="291"/>
      <c r="N152" s="288">
        <f>ROUND(L152*K152,2)</f>
        <v>0</v>
      </c>
      <c r="O152" s="289"/>
      <c r="P152" s="289"/>
      <c r="Q152" s="289"/>
      <c r="R152" s="22"/>
      <c r="T152" s="124"/>
      <c r="U152" s="28"/>
      <c r="V152" s="125"/>
      <c r="W152" s="125"/>
      <c r="X152" s="125"/>
      <c r="Y152" s="125"/>
      <c r="Z152" s="125"/>
      <c r="AA152" s="126"/>
      <c r="BE152" s="88"/>
      <c r="BF152" s="88"/>
      <c r="BG152" s="88"/>
      <c r="BH152" s="88"/>
      <c r="BI152" s="88"/>
      <c r="BK152" s="88"/>
    </row>
    <row r="153" spans="1:63" s="112" customFormat="1" ht="20.100000000000001" customHeight="1" x14ac:dyDescent="0.3">
      <c r="B153" s="111"/>
      <c r="D153" s="120" t="s">
        <v>228</v>
      </c>
      <c r="E153" s="120"/>
      <c r="F153" s="199"/>
      <c r="G153" s="199"/>
      <c r="H153" s="199"/>
      <c r="I153" s="199"/>
      <c r="J153" s="120"/>
      <c r="K153" s="120"/>
      <c r="L153" s="120"/>
      <c r="M153" s="120"/>
      <c r="N153" s="299">
        <f>SUM(N154:Q154)</f>
        <v>0</v>
      </c>
      <c r="O153" s="299"/>
      <c r="P153" s="299"/>
      <c r="Q153" s="299"/>
      <c r="R153" s="115"/>
      <c r="T153" s="116"/>
      <c r="W153" s="117"/>
      <c r="Y153" s="117"/>
      <c r="AA153" s="118"/>
      <c r="AR153" s="114"/>
      <c r="AT153" s="114"/>
      <c r="AU153" s="114"/>
      <c r="AY153" s="114"/>
      <c r="BK153" s="119"/>
    </row>
    <row r="154" spans="1:63" s="7" customFormat="1" ht="20.100000000000001" customHeight="1" x14ac:dyDescent="0.3">
      <c r="B154" s="21"/>
      <c r="C154" s="121">
        <f>C152+1</f>
        <v>29</v>
      </c>
      <c r="D154" s="121"/>
      <c r="E154" s="190"/>
      <c r="F154" s="292" t="s">
        <v>197</v>
      </c>
      <c r="G154" s="293" t="s">
        <v>157</v>
      </c>
      <c r="H154" s="293" t="s">
        <v>157</v>
      </c>
      <c r="I154" s="294" t="s">
        <v>157</v>
      </c>
      <c r="J154" s="129" t="s">
        <v>107</v>
      </c>
      <c r="K154" s="123">
        <v>5</v>
      </c>
      <c r="L154" s="300">
        <v>0</v>
      </c>
      <c r="M154" s="301"/>
      <c r="N154" s="302">
        <f>ROUND(L154*K154,2)</f>
        <v>0</v>
      </c>
      <c r="O154" s="303"/>
      <c r="P154" s="303"/>
      <c r="Q154" s="304"/>
      <c r="R154" s="22"/>
      <c r="T154" s="124"/>
      <c r="U154" s="28"/>
      <c r="V154" s="125"/>
      <c r="W154" s="125"/>
      <c r="X154" s="125"/>
      <c r="Y154" s="125"/>
      <c r="Z154" s="125"/>
      <c r="AA154" s="126"/>
      <c r="BE154" s="88"/>
      <c r="BF154" s="88"/>
      <c r="BG154" s="88"/>
      <c r="BH154" s="88"/>
      <c r="BI154" s="88"/>
      <c r="BK154" s="88"/>
    </row>
    <row r="155" spans="1:63" s="112" customFormat="1" ht="20.100000000000001" customHeight="1" x14ac:dyDescent="0.3">
      <c r="B155" s="111"/>
      <c r="D155" s="120" t="s">
        <v>136</v>
      </c>
      <c r="E155" s="120"/>
      <c r="F155" s="199"/>
      <c r="G155" s="199"/>
      <c r="H155" s="199"/>
      <c r="I155" s="199"/>
      <c r="J155" s="120"/>
      <c r="K155" s="120"/>
      <c r="L155" s="120"/>
      <c r="M155" s="120"/>
      <c r="N155" s="297">
        <f>SUM(N156:Q159)</f>
        <v>0</v>
      </c>
      <c r="O155" s="298"/>
      <c r="P155" s="298"/>
      <c r="Q155" s="298"/>
      <c r="R155" s="115"/>
      <c r="T155" s="116"/>
      <c r="W155" s="117"/>
      <c r="Y155" s="117"/>
      <c r="AA155" s="118"/>
      <c r="AR155" s="114"/>
      <c r="AT155" s="114"/>
      <c r="AU155" s="114"/>
      <c r="AY155" s="114"/>
      <c r="BK155" s="119"/>
    </row>
    <row r="156" spans="1:63" s="7" customFormat="1" ht="60" customHeight="1" x14ac:dyDescent="0.3">
      <c r="B156" s="21"/>
      <c r="C156" s="121">
        <f>C154+1</f>
        <v>30</v>
      </c>
      <c r="D156" s="121"/>
      <c r="E156" s="189"/>
      <c r="F156" s="295" t="s">
        <v>233</v>
      </c>
      <c r="G156" s="296" t="s">
        <v>158</v>
      </c>
      <c r="H156" s="296" t="s">
        <v>158</v>
      </c>
      <c r="I156" s="296" t="s">
        <v>158</v>
      </c>
      <c r="J156" s="122" t="s">
        <v>109</v>
      </c>
      <c r="K156" s="123">
        <v>1</v>
      </c>
      <c r="L156" s="290">
        <v>0</v>
      </c>
      <c r="M156" s="291"/>
      <c r="N156" s="288">
        <f>ROUND(L156*K156,2)</f>
        <v>0</v>
      </c>
      <c r="O156" s="289"/>
      <c r="P156" s="289"/>
      <c r="Q156" s="289"/>
      <c r="R156" s="22"/>
      <c r="T156" s="133"/>
      <c r="U156" s="28"/>
      <c r="V156" s="125"/>
      <c r="W156" s="125"/>
      <c r="X156" s="125"/>
      <c r="Y156" s="125"/>
      <c r="Z156" s="125"/>
      <c r="AA156" s="126"/>
      <c r="BE156" s="88"/>
      <c r="BF156" s="88"/>
      <c r="BG156" s="88"/>
      <c r="BH156" s="88"/>
      <c r="BI156" s="88"/>
      <c r="BK156" s="88"/>
    </row>
    <row r="157" spans="1:63" s="197" customFormat="1" ht="20.100000000000001" customHeight="1" x14ac:dyDescent="0.3">
      <c r="B157" s="175"/>
      <c r="C157" s="179">
        <f>C156+1</f>
        <v>31</v>
      </c>
      <c r="D157" s="179"/>
      <c r="E157" s="189"/>
      <c r="F157" s="292" t="s">
        <v>232</v>
      </c>
      <c r="G157" s="293" t="s">
        <v>159</v>
      </c>
      <c r="H157" s="293" t="s">
        <v>159</v>
      </c>
      <c r="I157" s="294" t="s">
        <v>159</v>
      </c>
      <c r="J157" s="122" t="s">
        <v>107</v>
      </c>
      <c r="K157" s="180">
        <v>7</v>
      </c>
      <c r="L157" s="300">
        <v>0</v>
      </c>
      <c r="M157" s="301"/>
      <c r="N157" s="288">
        <f t="shared" ref="N157" si="8">ROUND(L157*K157,2)</f>
        <v>0</v>
      </c>
      <c r="O157" s="289"/>
      <c r="P157" s="289"/>
      <c r="Q157" s="289"/>
      <c r="R157" s="176"/>
      <c r="T157" s="133"/>
      <c r="U157" s="177"/>
      <c r="V157" s="181"/>
      <c r="W157" s="181"/>
      <c r="X157" s="181"/>
      <c r="Y157" s="181"/>
      <c r="Z157" s="181"/>
      <c r="AA157" s="126"/>
      <c r="BE157" s="178"/>
      <c r="BF157" s="178"/>
      <c r="BG157" s="178"/>
      <c r="BH157" s="178"/>
      <c r="BI157" s="178"/>
      <c r="BK157" s="178"/>
    </row>
    <row r="158" spans="1:63" s="7" customFormat="1" ht="20.100000000000001" customHeight="1" x14ac:dyDescent="0.3">
      <c r="B158" s="21"/>
      <c r="C158" s="121">
        <f>C157+1</f>
        <v>32</v>
      </c>
      <c r="D158" s="121"/>
      <c r="E158" s="189"/>
      <c r="F158" s="292" t="s">
        <v>205</v>
      </c>
      <c r="G158" s="293" t="s">
        <v>159</v>
      </c>
      <c r="H158" s="293" t="s">
        <v>159</v>
      </c>
      <c r="I158" s="294" t="s">
        <v>159</v>
      </c>
      <c r="J158" s="122" t="s">
        <v>107</v>
      </c>
      <c r="K158" s="123">
        <v>7</v>
      </c>
      <c r="L158" s="300">
        <v>0</v>
      </c>
      <c r="M158" s="301"/>
      <c r="N158" s="288">
        <f t="shared" ref="N158:N159" si="9">ROUND(L158*K158,2)</f>
        <v>0</v>
      </c>
      <c r="O158" s="289"/>
      <c r="P158" s="289"/>
      <c r="Q158" s="289"/>
      <c r="R158" s="22"/>
      <c r="T158" s="133"/>
      <c r="U158" s="28"/>
      <c r="V158" s="125"/>
      <c r="W158" s="125"/>
      <c r="X158" s="125"/>
      <c r="Y158" s="125"/>
      <c r="Z158" s="125"/>
      <c r="AA158" s="126"/>
      <c r="BE158" s="88"/>
      <c r="BF158" s="88"/>
      <c r="BG158" s="88"/>
      <c r="BH158" s="88"/>
      <c r="BI158" s="88"/>
      <c r="BK158" s="88"/>
    </row>
    <row r="159" spans="1:63" s="7" customFormat="1" ht="30" customHeight="1" x14ac:dyDescent="0.3">
      <c r="B159" s="21"/>
      <c r="C159" s="121">
        <f t="shared" ref="C159" si="10">C158+1</f>
        <v>33</v>
      </c>
      <c r="D159" s="121"/>
      <c r="E159" s="190"/>
      <c r="F159" s="292" t="s">
        <v>192</v>
      </c>
      <c r="G159" s="293" t="s">
        <v>138</v>
      </c>
      <c r="H159" s="293" t="s">
        <v>138</v>
      </c>
      <c r="I159" s="294" t="s">
        <v>138</v>
      </c>
      <c r="J159" s="129" t="s">
        <v>107</v>
      </c>
      <c r="K159" s="123">
        <v>120</v>
      </c>
      <c r="L159" s="300">
        <v>0</v>
      </c>
      <c r="M159" s="301"/>
      <c r="N159" s="288">
        <f t="shared" si="9"/>
        <v>0</v>
      </c>
      <c r="O159" s="289"/>
      <c r="P159" s="289"/>
      <c r="Q159" s="289"/>
      <c r="R159" s="22"/>
      <c r="T159" s="133"/>
      <c r="U159" s="28"/>
      <c r="V159" s="125"/>
      <c r="W159" s="125"/>
      <c r="X159" s="125"/>
      <c r="Y159" s="125"/>
      <c r="Z159" s="125"/>
      <c r="AA159" s="126"/>
      <c r="BE159" s="88"/>
      <c r="BF159" s="88"/>
      <c r="BG159" s="88"/>
      <c r="BH159" s="88"/>
      <c r="BI159" s="88"/>
      <c r="BK159" s="88"/>
    </row>
    <row r="160" spans="1:63" ht="7.5" customHeight="1" x14ac:dyDescent="0.3">
      <c r="A160" s="209"/>
      <c r="B160" s="22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136"/>
    </row>
  </sheetData>
  <sheetProtection algorithmName="SHA-512" hashValue="GK8DOc7XIEBuY0sSl/TBvTf/h52DLwjx2OMaivA/OJCIEIIeK4Sa53oHbVlz69eQVF7M/z58JipPPilifhTHiA==" saltValue="7kKtFP8k81S9dD/J9GbcFg==" spinCount="100000" sheet="1" selectLockedCells="1"/>
  <mergeCells count="178">
    <mergeCell ref="F147:I147"/>
    <mergeCell ref="F144:I144"/>
    <mergeCell ref="F146:I146"/>
    <mergeCell ref="L146:M146"/>
    <mergeCell ref="N148:Q148"/>
    <mergeCell ref="L158:M158"/>
    <mergeCell ref="L159:M159"/>
    <mergeCell ref="F148:I148"/>
    <mergeCell ref="L139:M139"/>
    <mergeCell ref="L140:M140"/>
    <mergeCell ref="L143:M143"/>
    <mergeCell ref="L144:M144"/>
    <mergeCell ref="L145:M145"/>
    <mergeCell ref="L148:M148"/>
    <mergeCell ref="N141:Q141"/>
    <mergeCell ref="N147:Q147"/>
    <mergeCell ref="N144:Q144"/>
    <mergeCell ref="F158:I158"/>
    <mergeCell ref="N159:Q159"/>
    <mergeCell ref="N158:Q158"/>
    <mergeCell ref="F159:I159"/>
    <mergeCell ref="F157:I157"/>
    <mergeCell ref="N157:Q157"/>
    <mergeCell ref="L149:M149"/>
    <mergeCell ref="S2:AC2"/>
    <mergeCell ref="H33:J33"/>
    <mergeCell ref="M33:P33"/>
    <mergeCell ref="E16:L16"/>
    <mergeCell ref="O16:P16"/>
    <mergeCell ref="O18:P18"/>
    <mergeCell ref="O19:P19"/>
    <mergeCell ref="O21:P21"/>
    <mergeCell ref="O22:P22"/>
    <mergeCell ref="M25:P25"/>
    <mergeCell ref="M27:P27"/>
    <mergeCell ref="H29:J29"/>
    <mergeCell ref="M29:P29"/>
    <mergeCell ref="C2:Q2"/>
    <mergeCell ref="C4:Q4"/>
    <mergeCell ref="F6:P6"/>
    <mergeCell ref="F7:P7"/>
    <mergeCell ref="F8:P8"/>
    <mergeCell ref="O10:P10"/>
    <mergeCell ref="F10:L10"/>
    <mergeCell ref="O12:P12"/>
    <mergeCell ref="O13:P13"/>
    <mergeCell ref="H30:J30"/>
    <mergeCell ref="M30:P30"/>
    <mergeCell ref="F117:I117"/>
    <mergeCell ref="N118:Q118"/>
    <mergeCell ref="N122:Q122"/>
    <mergeCell ref="M104:P104"/>
    <mergeCell ref="M106:Q106"/>
    <mergeCell ref="M107:Q107"/>
    <mergeCell ref="L116:M116"/>
    <mergeCell ref="L117:M117"/>
    <mergeCell ref="F140:I140"/>
    <mergeCell ref="N140:Q140"/>
    <mergeCell ref="N119:Q119"/>
    <mergeCell ref="F130:I130"/>
    <mergeCell ref="N130:Q130"/>
    <mergeCell ref="L118:M118"/>
    <mergeCell ref="L119:M119"/>
    <mergeCell ref="L120:M120"/>
    <mergeCell ref="L121:M121"/>
    <mergeCell ref="L124:M124"/>
    <mergeCell ref="L125:M125"/>
    <mergeCell ref="L126:M126"/>
    <mergeCell ref="L136:M136"/>
    <mergeCell ref="K37:M37"/>
    <mergeCell ref="F109:I109"/>
    <mergeCell ref="L109:M109"/>
    <mergeCell ref="N109:Q109"/>
    <mergeCell ref="F113:I113"/>
    <mergeCell ref="F101:P101"/>
    <mergeCell ref="F102:P102"/>
    <mergeCell ref="L129:M129"/>
    <mergeCell ref="F121:I121"/>
    <mergeCell ref="F120:I120"/>
    <mergeCell ref="N125:Q125"/>
    <mergeCell ref="F127:I127"/>
    <mergeCell ref="F126:I126"/>
    <mergeCell ref="N126:Q126"/>
    <mergeCell ref="N121:Q121"/>
    <mergeCell ref="N127:Q127"/>
    <mergeCell ref="N120:Q120"/>
    <mergeCell ref="F124:I124"/>
    <mergeCell ref="N124:Q124"/>
    <mergeCell ref="F125:I125"/>
    <mergeCell ref="L127:M127"/>
    <mergeCell ref="N128:Q128"/>
    <mergeCell ref="F118:I118"/>
    <mergeCell ref="N117:Q117"/>
    <mergeCell ref="H1:K1"/>
    <mergeCell ref="N123:Q123"/>
    <mergeCell ref="F114:I114"/>
    <mergeCell ref="L114:M114"/>
    <mergeCell ref="N114:Q114"/>
    <mergeCell ref="F115:I115"/>
    <mergeCell ref="N115:Q115"/>
    <mergeCell ref="F116:I116"/>
    <mergeCell ref="N116:Q116"/>
    <mergeCell ref="F119:I119"/>
    <mergeCell ref="N113:Q113"/>
    <mergeCell ref="N110:Q110"/>
    <mergeCell ref="N111:Q111"/>
    <mergeCell ref="N112:Q112"/>
    <mergeCell ref="C86:G86"/>
    <mergeCell ref="N86:Q86"/>
    <mergeCell ref="N87:Q87"/>
    <mergeCell ref="L113:M113"/>
    <mergeCell ref="L115:M115"/>
    <mergeCell ref="O15:P15"/>
    <mergeCell ref="N88:Q88"/>
    <mergeCell ref="N89:Q89"/>
    <mergeCell ref="L92:Q92"/>
    <mergeCell ref="C98:Q98"/>
    <mergeCell ref="H31:J31"/>
    <mergeCell ref="M31:P31"/>
    <mergeCell ref="H32:J32"/>
    <mergeCell ref="M32:P32"/>
    <mergeCell ref="F156:I156"/>
    <mergeCell ref="N156:Q156"/>
    <mergeCell ref="N155:Q155"/>
    <mergeCell ref="N142:Q142"/>
    <mergeCell ref="F100:P100"/>
    <mergeCell ref="L35:P35"/>
    <mergeCell ref="C75:Q75"/>
    <mergeCell ref="F77:P77"/>
    <mergeCell ref="F78:P78"/>
    <mergeCell ref="F79:P79"/>
    <mergeCell ref="F143:I143"/>
    <mergeCell ref="N143:Q143"/>
    <mergeCell ref="M81:P81"/>
    <mergeCell ref="M83:Q83"/>
    <mergeCell ref="M84:Q84"/>
    <mergeCell ref="N90:Q90"/>
    <mergeCell ref="F145:I145"/>
    <mergeCell ref="N145:Q145"/>
    <mergeCell ref="F149:I149"/>
    <mergeCell ref="N149:Q149"/>
    <mergeCell ref="N150:Q150"/>
    <mergeCell ref="N153:Q153"/>
    <mergeCell ref="F152:I152"/>
    <mergeCell ref="N151:Q151"/>
    <mergeCell ref="L156:M156"/>
    <mergeCell ref="L150:M150"/>
    <mergeCell ref="L154:M154"/>
    <mergeCell ref="L152:M152"/>
    <mergeCell ref="L157:M157"/>
    <mergeCell ref="N154:Q154"/>
    <mergeCell ref="N152:Q152"/>
    <mergeCell ref="F154:I154"/>
    <mergeCell ref="F150:I150"/>
    <mergeCell ref="N146:Q146"/>
    <mergeCell ref="L147:M147"/>
    <mergeCell ref="F129:I129"/>
    <mergeCell ref="F134:I134"/>
    <mergeCell ref="N134:Q134"/>
    <mergeCell ref="N139:Q139"/>
    <mergeCell ref="F139:I139"/>
    <mergeCell ref="N138:Q138"/>
    <mergeCell ref="N129:Q129"/>
    <mergeCell ref="F136:I136"/>
    <mergeCell ref="N136:Q136"/>
    <mergeCell ref="F137:I137"/>
    <mergeCell ref="N137:Q137"/>
    <mergeCell ref="N135:Q135"/>
    <mergeCell ref="F132:I132"/>
    <mergeCell ref="N132:Q132"/>
    <mergeCell ref="F135:I135"/>
    <mergeCell ref="L137:M137"/>
    <mergeCell ref="N133:Q133"/>
    <mergeCell ref="L134:M134"/>
    <mergeCell ref="L135:M135"/>
    <mergeCell ref="N131:Q131"/>
    <mergeCell ref="L130:M130"/>
    <mergeCell ref="L132:M132"/>
  </mergeCells>
  <hyperlinks>
    <hyperlink ref="F1:G1" location="C2" tooltip="Krycí list rozpočtu" display="1) Krycí list rozpočtu" xr:uid="{00000000-0004-0000-0100-000000000000}"/>
    <hyperlink ref="H1:K1" location="'SO01'!C93" tooltip="Rekapitulace rozpočtu" display="2) Rekapitulace rozpočtu" xr:uid="{00000000-0004-0000-0100-000001000000}"/>
    <hyperlink ref="L1" location="'SO01'!C115" tooltip="Rozpočet" display="3) Rozpočet" xr:uid="{00000000-0004-0000-0100-000002000000}"/>
    <hyperlink ref="S1:T1" location="'Rekapitulace stavby'!C2" tooltip="Rekapitulace stavby" display="Rekapitulace stavby" xr:uid="{00000000-0004-0000-0100-000003000000}"/>
    <hyperlink ref="S1" location="Rekapitulace!C4" tooltip="Rekapitulace stavby" display="Rekapitulace stavby" xr:uid="{310696C5-5920-4BFC-ABF8-A4D2B9DDCFC9}"/>
    <hyperlink ref="F1" location="'SO01'!C4" tooltip="Krycí list rozpočtu" display="1) Krycí list rozpočtu" xr:uid="{111A296B-5BDF-4ED1-A5F3-08BB957445DF}"/>
  </hyperlinks>
  <pageMargins left="0.59055118110236227" right="0.59055118110236227" top="0.59055118110236227" bottom="0.59055118110236227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BK168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L118" sqref="L118:M118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2" width="10.5" style="155" customWidth="1"/>
    <col min="43" max="43" width="15.83203125" style="155" customWidth="1"/>
    <col min="44" max="53" width="10.5" style="155" customWidth="1"/>
    <col min="54" max="54" width="6.5" style="155" customWidth="1"/>
    <col min="55" max="55" width="11.33203125" style="155" customWidth="1"/>
    <col min="56" max="56" width="5.83203125" style="155" customWidth="1"/>
    <col min="57" max="57" width="8" style="155" customWidth="1"/>
    <col min="58" max="58" width="9.1640625" style="155" customWidth="1"/>
    <col min="59" max="59" width="10.33203125" style="155" customWidth="1"/>
    <col min="60" max="60" width="9.6640625" style="155" customWidth="1"/>
    <col min="61" max="61" width="12.5" style="155" customWidth="1"/>
    <col min="62" max="62" width="11.6640625" style="155" customWidth="1"/>
    <col min="63" max="63" width="16.6640625" style="155" customWidth="1"/>
    <col min="64" max="64" width="6.6640625" style="155" customWidth="1"/>
    <col min="65" max="74" width="10.5" style="155" customWidth="1"/>
    <col min="75" max="16384" width="10.5" style="155"/>
  </cols>
  <sheetData>
    <row r="1" spans="2:29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12" t="s">
        <v>117</v>
      </c>
      <c r="I1" s="312"/>
      <c r="J1" s="312"/>
      <c r="K1" s="312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29" ht="37.5" customHeight="1" x14ac:dyDescent="0.3">
      <c r="C2" s="321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S2" s="256" t="s">
        <v>3</v>
      </c>
      <c r="T2" s="248"/>
      <c r="U2" s="248"/>
      <c r="V2" s="248"/>
      <c r="W2" s="248"/>
      <c r="X2" s="248"/>
      <c r="Y2" s="248"/>
      <c r="Z2" s="248"/>
      <c r="AA2" s="248"/>
      <c r="AB2" s="248"/>
      <c r="AC2" s="248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49" t="s">
        <v>81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306" t="str">
        <f>Rekapitulace!$K$6</f>
        <v>Instalace FVE s akumulací pro vlastní spotřebu elektřiny ve společnosti ČEPRO, a.s. v areálu Mstětice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R6" s="12"/>
    </row>
    <row r="7" spans="2:29" ht="24.95" customHeight="1" x14ac:dyDescent="0.3">
      <c r="B7" s="11"/>
      <c r="D7" s="18" t="s">
        <v>82</v>
      </c>
      <c r="F7" s="306" t="str">
        <f>Rekapitulace!J89</f>
        <v>SO 02 - Instalace FVE 2 o výkonu 124,44 kWp na severní straně budovy č. 700/1 - Sklad a výdej olejů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R7" s="12"/>
    </row>
    <row r="8" spans="2:29" s="154" customFormat="1" ht="33.75" customHeight="1" x14ac:dyDescent="0.3">
      <c r="B8" s="21"/>
      <c r="D8" s="17" t="s">
        <v>83</v>
      </c>
      <c r="F8" s="264" t="str">
        <f>Rekapitulace!J89</f>
        <v>SO 02 - Instalace FVE 2 o výkonu 124,44 kWp na severní straně budovy č. 700/1 - Sklad a výdej olejů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R8" s="22"/>
    </row>
    <row r="9" spans="2:29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29" s="154" customFormat="1" ht="15" customHeight="1" x14ac:dyDescent="0.3">
      <c r="B10" s="21"/>
      <c r="D10" s="18" t="s">
        <v>15</v>
      </c>
      <c r="F10" s="253" t="str">
        <f>Rekapitulace!L80</f>
        <v>Areál skladu ČEPRO, a.s.; Mstětice 3, 250 91 Zeleneč</v>
      </c>
      <c r="G10" s="253"/>
      <c r="H10" s="253"/>
      <c r="I10" s="253"/>
      <c r="J10" s="253"/>
      <c r="K10" s="253"/>
      <c r="L10" s="253"/>
      <c r="M10" s="18" t="s">
        <v>16</v>
      </c>
      <c r="O10" s="322">
        <f>Rekapitulace!$AN$8</f>
        <v>44105</v>
      </c>
      <c r="P10" s="322"/>
      <c r="R10" s="22"/>
    </row>
    <row r="11" spans="2:29" s="154" customFormat="1" ht="12" customHeight="1" x14ac:dyDescent="0.3">
      <c r="B11" s="21"/>
      <c r="R11" s="22"/>
    </row>
    <row r="12" spans="2:29" s="154" customFormat="1" ht="15" customHeight="1" x14ac:dyDescent="0.3">
      <c r="B12" s="21"/>
      <c r="D12" s="18" t="s">
        <v>17</v>
      </c>
      <c r="M12" s="18" t="s">
        <v>18</v>
      </c>
      <c r="O12" s="253">
        <f>IF(Rekapitulace!$AN$10="","",Rekapitulace!$AN$10)</f>
        <v>60193531</v>
      </c>
      <c r="P12" s="254"/>
      <c r="R12" s="22"/>
    </row>
    <row r="13" spans="2:29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53" t="str">
        <f>IF(Rekapitulace!$AN$11="","",Rekapitulace!$AN$11)</f>
        <v>CZ60193531</v>
      </c>
      <c r="P13" s="254"/>
      <c r="R13" s="22"/>
    </row>
    <row r="14" spans="2:29" s="154" customFormat="1" ht="7.5" customHeight="1" x14ac:dyDescent="0.3">
      <c r="B14" s="21"/>
      <c r="R14" s="22"/>
    </row>
    <row r="15" spans="2:29" s="154" customFormat="1" ht="15" customHeight="1" x14ac:dyDescent="0.3">
      <c r="B15" s="21"/>
      <c r="D15" s="18" t="s">
        <v>20</v>
      </c>
      <c r="M15" s="18" t="s">
        <v>18</v>
      </c>
      <c r="O15" s="316" t="str">
        <f>IF(Rekapitulace!$AN$13="","",Rekapitulace!$AN$13)</f>
        <v>Vyplň údaj</v>
      </c>
      <c r="P15" s="285"/>
      <c r="R15" s="22"/>
    </row>
    <row r="16" spans="2:29" s="154" customFormat="1" ht="18.75" customHeight="1" x14ac:dyDescent="0.3">
      <c r="B16" s="21"/>
      <c r="E16" s="316" t="str">
        <f>IF(Rekapitulace!$E$14="","",Rekapitulace!$E$14)</f>
        <v>Vyplň údaj</v>
      </c>
      <c r="F16" s="285"/>
      <c r="G16" s="285"/>
      <c r="H16" s="285"/>
      <c r="I16" s="285"/>
      <c r="J16" s="285"/>
      <c r="K16" s="285"/>
      <c r="L16" s="285"/>
      <c r="M16" s="18" t="s">
        <v>19</v>
      </c>
      <c r="O16" s="316" t="str">
        <f>IF(Rekapitulace!$AN$14="","",Rekapitulace!$AN$14)</f>
        <v>Vyplň údaj</v>
      </c>
      <c r="P16" s="285"/>
      <c r="R16" s="22"/>
    </row>
    <row r="17" spans="2:18" s="154" customFormat="1" ht="7.5" customHeight="1" x14ac:dyDescent="0.3">
      <c r="B17" s="21"/>
      <c r="R17" s="22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53" t="str">
        <f>IF(Rekapitulace!$AN$16="","",Rekapitulace!$AN$16)</f>
        <v>04083351</v>
      </c>
      <c r="P18" s="254"/>
      <c r="R18" s="22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53" t="str">
        <f>IF(Rekapitulace!$AN$17="","",Rekapitulace!$AN$17)</f>
        <v>CZ04083351</v>
      </c>
      <c r="P19" s="254"/>
      <c r="R19" s="22"/>
    </row>
    <row r="20" spans="2:18" s="154" customFormat="1" ht="7.5" customHeight="1" x14ac:dyDescent="0.3">
      <c r="B20" s="21"/>
      <c r="R20" s="22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53" t="str">
        <f>IF(Rekapitulace!$AN$19="","",Rekapitulace!$AN$19)</f>
        <v>04083351</v>
      </c>
      <c r="P21" s="254"/>
      <c r="R21" s="22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53" t="str">
        <f>IF(Rekapitulace!$AN$20="","",Rekapitulace!$AN$20)</f>
        <v>CZ04083351</v>
      </c>
      <c r="P22" s="254"/>
      <c r="R22" s="22"/>
    </row>
    <row r="23" spans="2:18" s="154" customFormat="1" ht="7.5" customHeight="1" x14ac:dyDescent="0.3">
      <c r="B23" s="21"/>
      <c r="R23" s="22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154" customFormat="1" ht="15" customHeight="1" x14ac:dyDescent="0.3">
      <c r="B25" s="21"/>
      <c r="D25" s="76" t="s">
        <v>84</v>
      </c>
      <c r="M25" s="252">
        <f>$N$87</f>
        <v>0</v>
      </c>
      <c r="N25" s="254"/>
      <c r="O25" s="254"/>
      <c r="P25" s="254"/>
      <c r="R25" s="22"/>
    </row>
    <row r="26" spans="2:18" s="154" customFormat="1" ht="7.5" customHeight="1" x14ac:dyDescent="0.3">
      <c r="B26" s="21"/>
      <c r="R26" s="22"/>
    </row>
    <row r="27" spans="2:18" s="154" customFormat="1" ht="26.25" customHeight="1" x14ac:dyDescent="0.3">
      <c r="B27" s="21"/>
      <c r="D27" s="96" t="s">
        <v>26</v>
      </c>
      <c r="M27" s="320">
        <f>ROUND($M$25,2)</f>
        <v>0</v>
      </c>
      <c r="N27" s="254"/>
      <c r="O27" s="254"/>
      <c r="P27" s="254"/>
      <c r="R27" s="22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05">
        <f>M27</f>
        <v>0</v>
      </c>
      <c r="I29" s="254"/>
      <c r="J29" s="254"/>
      <c r="M29" s="305">
        <f>(H29)*$F$29</f>
        <v>0</v>
      </c>
      <c r="N29" s="254"/>
      <c r="O29" s="254"/>
      <c r="P29" s="254"/>
      <c r="R29" s="22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05">
        <v>0</v>
      </c>
      <c r="I30" s="254"/>
      <c r="J30" s="254"/>
      <c r="M30" s="305">
        <v>0</v>
      </c>
      <c r="N30" s="254"/>
      <c r="O30" s="254"/>
      <c r="P30" s="254"/>
      <c r="R30" s="22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05" t="e">
        <f>(SUM(#REF!)+SUM(#REF!))</f>
        <v>#REF!</v>
      </c>
      <c r="I31" s="254"/>
      <c r="J31" s="254"/>
      <c r="M31" s="305">
        <v>0</v>
      </c>
      <c r="N31" s="254"/>
      <c r="O31" s="254"/>
      <c r="P31" s="254"/>
      <c r="R31" s="22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05" t="e">
        <f>(SUM(#REF!)+SUM(#REF!))</f>
        <v>#REF!</v>
      </c>
      <c r="I32" s="254"/>
      <c r="J32" s="254"/>
      <c r="M32" s="305">
        <v>0</v>
      </c>
      <c r="N32" s="254"/>
      <c r="O32" s="254"/>
      <c r="P32" s="254"/>
      <c r="R32" s="22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05" t="e">
        <f>(SUM(#REF!)+SUM(#REF!))</f>
        <v>#REF!</v>
      </c>
      <c r="I33" s="254"/>
      <c r="J33" s="254"/>
      <c r="M33" s="305">
        <v>0</v>
      </c>
      <c r="N33" s="254"/>
      <c r="O33" s="254"/>
      <c r="P33" s="254"/>
      <c r="R33" s="22"/>
    </row>
    <row r="34" spans="2:18" s="154" customFormat="1" ht="7.5" customHeight="1" x14ac:dyDescent="0.3">
      <c r="B34" s="21"/>
      <c r="R34" s="22"/>
    </row>
    <row r="35" spans="2:18" s="154" customFormat="1" ht="26.25" customHeight="1" x14ac:dyDescent="0.3">
      <c r="B35" s="21"/>
      <c r="C35" s="160"/>
      <c r="D35" s="227" t="s">
        <v>34</v>
      </c>
      <c r="E35" s="233"/>
      <c r="F35" s="233"/>
      <c r="G35" s="225" t="s">
        <v>35</v>
      </c>
      <c r="H35" s="226" t="s">
        <v>36</v>
      </c>
      <c r="I35" s="233"/>
      <c r="J35" s="233"/>
      <c r="K35" s="233"/>
      <c r="L35" s="307">
        <f>ROUND(SUM($M$27:$M$33),2)</f>
        <v>0</v>
      </c>
      <c r="M35" s="308"/>
      <c r="N35" s="308"/>
      <c r="O35" s="308"/>
      <c r="P35" s="308"/>
      <c r="Q35" s="160"/>
      <c r="R35" s="22"/>
    </row>
    <row r="36" spans="2:18" s="154" customFormat="1" ht="15" customHeight="1" x14ac:dyDescent="0.3">
      <c r="B36" s="21"/>
      <c r="R36" s="22"/>
    </row>
    <row r="37" spans="2:18" s="154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154" customFormat="1" ht="37.5" customHeight="1" x14ac:dyDescent="0.3">
      <c r="B75" s="21"/>
      <c r="C75" s="249" t="s">
        <v>85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2"/>
    </row>
    <row r="76" spans="2:18" s="154" customFormat="1" ht="7.5" customHeight="1" x14ac:dyDescent="0.3">
      <c r="B76" s="21"/>
      <c r="R76" s="22"/>
    </row>
    <row r="77" spans="2:18" s="154" customFormat="1" ht="24.95" customHeight="1" x14ac:dyDescent="0.3">
      <c r="B77" s="21"/>
      <c r="C77" s="18" t="s">
        <v>12</v>
      </c>
      <c r="F77" s="306" t="str">
        <f>$F$6</f>
        <v>Instalace FVE s akumulací pro vlastní spotřebu elektřiny ve společnosti ČEPRO, a.s. v areálu Mstětice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R77" s="22"/>
    </row>
    <row r="78" spans="2:18" ht="24.95" customHeight="1" x14ac:dyDescent="0.3">
      <c r="B78" s="11"/>
      <c r="C78" s="18" t="s">
        <v>82</v>
      </c>
      <c r="F78" s="306" t="str">
        <f>F7</f>
        <v>SO 02 - Instalace FVE 2 o výkonu 124,44 kWp na severní straně budovy č. 700/1 - Sklad a výdej olejů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R78" s="12"/>
    </row>
    <row r="79" spans="2:18" s="154" customFormat="1" ht="37.5" customHeight="1" x14ac:dyDescent="0.3">
      <c r="B79" s="21"/>
      <c r="C79" s="51" t="s">
        <v>83</v>
      </c>
      <c r="F79" s="269" t="str">
        <f>F8</f>
        <v>SO 02 - Instalace FVE 2 o výkonu 124,44 kWp na severní straně budovy č. 700/1 - Sklad a výdej olejů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R79" s="22"/>
    </row>
    <row r="80" spans="2:18" s="154" customFormat="1" ht="7.5" customHeight="1" x14ac:dyDescent="0.3">
      <c r="B80" s="21"/>
      <c r="R80" s="22"/>
    </row>
    <row r="81" spans="2:18" s="154" customFormat="1" ht="18.75" customHeight="1" x14ac:dyDescent="0.3">
      <c r="B81" s="21"/>
      <c r="C81" s="18" t="s">
        <v>15</v>
      </c>
      <c r="F81" s="156" t="str">
        <f>$F$10</f>
        <v>Areál skladu ČEPRO, a.s.; Mstětice 3, 250 91 Zeleneč</v>
      </c>
      <c r="L81" s="18" t="s">
        <v>16</v>
      </c>
      <c r="M81" s="270">
        <f>IF($O$10="","",$O$10)</f>
        <v>44105</v>
      </c>
      <c r="N81" s="254"/>
      <c r="O81" s="254"/>
      <c r="P81" s="254"/>
      <c r="R81" s="22"/>
    </row>
    <row r="82" spans="2:18" s="154" customFormat="1" ht="7.5" customHeight="1" x14ac:dyDescent="0.3">
      <c r="B82" s="21"/>
      <c r="R82" s="22"/>
    </row>
    <row r="83" spans="2:18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53" t="str">
        <f>$E$19</f>
        <v>YOUNG4ENERGY s.r.o.</v>
      </c>
      <c r="N83" s="254"/>
      <c r="O83" s="254"/>
      <c r="P83" s="254"/>
      <c r="Q83" s="254"/>
      <c r="R83" s="22"/>
    </row>
    <row r="84" spans="2:18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53" t="str">
        <f>$E$22</f>
        <v>YOUNG4ENERGY s.r.o.</v>
      </c>
      <c r="N84" s="254"/>
      <c r="O84" s="254"/>
      <c r="P84" s="254"/>
      <c r="Q84" s="254"/>
      <c r="R84" s="22"/>
    </row>
    <row r="85" spans="2:18" s="154" customFormat="1" ht="11.25" customHeight="1" x14ac:dyDescent="0.3">
      <c r="B85" s="21"/>
      <c r="R85" s="22"/>
    </row>
    <row r="86" spans="2:18" s="154" customFormat="1" ht="30" customHeight="1" x14ac:dyDescent="0.3">
      <c r="B86" s="21"/>
      <c r="C86" s="315" t="s">
        <v>86</v>
      </c>
      <c r="D86" s="287"/>
      <c r="E86" s="287"/>
      <c r="F86" s="287"/>
      <c r="G86" s="287"/>
      <c r="H86" s="160"/>
      <c r="I86" s="160"/>
      <c r="J86" s="160"/>
      <c r="K86" s="160"/>
      <c r="L86" s="160"/>
      <c r="M86" s="160"/>
      <c r="N86" s="315" t="s">
        <v>87</v>
      </c>
      <c r="O86" s="254"/>
      <c r="P86" s="254"/>
      <c r="Q86" s="254"/>
      <c r="R86" s="22"/>
    </row>
    <row r="87" spans="2:18" s="154" customFormat="1" ht="30" customHeight="1" x14ac:dyDescent="0.3">
      <c r="B87" s="21"/>
      <c r="C87" s="159" t="s">
        <v>88</v>
      </c>
      <c r="N87" s="276">
        <f>ROUND($N$110,2)</f>
        <v>0</v>
      </c>
      <c r="O87" s="254"/>
      <c r="P87" s="254"/>
      <c r="Q87" s="254"/>
      <c r="R87" s="22"/>
    </row>
    <row r="88" spans="2:18" s="64" customFormat="1" ht="20.100000000000001" customHeight="1" x14ac:dyDescent="0.35">
      <c r="B88" s="99"/>
      <c r="D88" s="113" t="str">
        <f>D111</f>
        <v>Instalace FVE 2</v>
      </c>
      <c r="N88" s="310">
        <f>ROUND($N$111,2)</f>
        <v>0</v>
      </c>
      <c r="O88" s="311"/>
      <c r="P88" s="311"/>
      <c r="Q88" s="311"/>
      <c r="R88" s="100"/>
    </row>
    <row r="89" spans="2:18" s="76" customFormat="1" ht="21" customHeight="1" x14ac:dyDescent="0.35">
      <c r="B89" s="101"/>
      <c r="D89" s="113" t="s">
        <v>127</v>
      </c>
      <c r="E89" s="64"/>
      <c r="F89" s="64"/>
      <c r="G89" s="64"/>
      <c r="H89" s="64"/>
      <c r="I89" s="64"/>
      <c r="J89" s="64"/>
      <c r="K89" s="64"/>
      <c r="L89" s="64"/>
      <c r="M89" s="64"/>
      <c r="N89" s="310">
        <f>ROUND($N$122,2)</f>
        <v>0</v>
      </c>
      <c r="O89" s="311"/>
      <c r="P89" s="311"/>
      <c r="Q89" s="311"/>
      <c r="R89" s="102"/>
    </row>
    <row r="90" spans="2:18" s="76" customFormat="1" ht="21" customHeight="1" x14ac:dyDescent="0.35">
      <c r="B90" s="101"/>
      <c r="D90" s="113" t="s">
        <v>144</v>
      </c>
      <c r="E90" s="64"/>
      <c r="F90" s="64"/>
      <c r="G90" s="64"/>
      <c r="H90" s="64"/>
      <c r="I90" s="64"/>
      <c r="J90" s="64"/>
      <c r="K90" s="64"/>
      <c r="L90" s="64"/>
      <c r="M90" s="64"/>
      <c r="N90" s="310">
        <f>ROUND($N$146,2)</f>
        <v>0</v>
      </c>
      <c r="O90" s="311"/>
      <c r="P90" s="311"/>
      <c r="Q90" s="311"/>
      <c r="R90" s="102"/>
    </row>
    <row r="91" spans="2:18" s="76" customFormat="1" ht="12" customHeight="1" x14ac:dyDescent="0.3">
      <c r="B91" s="101"/>
      <c r="R91" s="102"/>
    </row>
    <row r="92" spans="2:18" s="154" customFormat="1" ht="30" customHeight="1" x14ac:dyDescent="0.3">
      <c r="B92" s="21"/>
      <c r="C92" s="94" t="s">
        <v>141</v>
      </c>
      <c r="D92" s="160"/>
      <c r="E92" s="160"/>
      <c r="F92" s="160"/>
      <c r="G92" s="160"/>
      <c r="H92" s="160"/>
      <c r="I92" s="160"/>
      <c r="J92" s="160"/>
      <c r="K92" s="160"/>
      <c r="L92" s="286">
        <f>ROUND(SUM($N$88:$Q$90),2)</f>
        <v>0</v>
      </c>
      <c r="M92" s="287"/>
      <c r="N92" s="287"/>
      <c r="O92" s="287"/>
      <c r="P92" s="287"/>
      <c r="Q92" s="287"/>
      <c r="R92" s="22"/>
    </row>
    <row r="93" spans="2:18" s="154" customFormat="1" ht="7.5" customHeight="1" x14ac:dyDescent="0.3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5"/>
    </row>
    <row r="97" spans="2:63" s="154" customFormat="1" ht="7.5" customHeight="1" x14ac:dyDescent="0.3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8"/>
    </row>
    <row r="98" spans="2:63" s="154" customFormat="1" ht="37.5" customHeight="1" x14ac:dyDescent="0.3">
      <c r="B98" s="21"/>
      <c r="C98" s="249" t="s">
        <v>90</v>
      </c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2"/>
    </row>
    <row r="99" spans="2:63" s="154" customFormat="1" ht="7.5" customHeight="1" x14ac:dyDescent="0.3">
      <c r="B99" s="21"/>
      <c r="R99" s="22"/>
    </row>
    <row r="100" spans="2:63" s="154" customFormat="1" ht="24.95" customHeight="1" x14ac:dyDescent="0.3">
      <c r="B100" s="21"/>
      <c r="C100" s="18" t="s">
        <v>12</v>
      </c>
      <c r="F100" s="306" t="str">
        <f>$F$6</f>
        <v>Instalace FVE s akumulací pro vlastní spotřebu elektřiny ve společnosti ČEPRO, a.s. v areálu Mstětice</v>
      </c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R100" s="22"/>
    </row>
    <row r="101" spans="2:63" ht="24.95" customHeight="1" x14ac:dyDescent="0.3">
      <c r="B101" s="11"/>
      <c r="C101" s="18" t="s">
        <v>82</v>
      </c>
      <c r="F101" s="306" t="str">
        <f>F7</f>
        <v>SO 02 - Instalace FVE 2 o výkonu 124,44 kWp na severní straně budovy č. 700/1 - Sklad a výdej olejů</v>
      </c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R101" s="12"/>
    </row>
    <row r="102" spans="2:63" s="154" customFormat="1" ht="37.5" customHeight="1" x14ac:dyDescent="0.3">
      <c r="B102" s="21"/>
      <c r="C102" s="51" t="s">
        <v>83</v>
      </c>
      <c r="F102" s="269" t="str">
        <f>F8</f>
        <v>SO 02 - Instalace FVE 2 o výkonu 124,44 kWp na severní straně budovy č. 700/1 - Sklad a výdej olejů</v>
      </c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R102" s="22"/>
    </row>
    <row r="103" spans="2:63" s="154" customFormat="1" ht="7.5" customHeight="1" x14ac:dyDescent="0.3">
      <c r="B103" s="21"/>
      <c r="R103" s="22"/>
    </row>
    <row r="104" spans="2:63" s="154" customFormat="1" ht="18.75" customHeight="1" x14ac:dyDescent="0.3">
      <c r="B104" s="21"/>
      <c r="C104" s="18" t="s">
        <v>15</v>
      </c>
      <c r="F104" s="156" t="str">
        <f>$F$10</f>
        <v>Areál skladu ČEPRO, a.s.; Mstětice 3, 250 91 Zeleneč</v>
      </c>
      <c r="L104" s="18" t="s">
        <v>16</v>
      </c>
      <c r="M104" s="270">
        <f>IF($O$10="","",$O$10)</f>
        <v>44105</v>
      </c>
      <c r="N104" s="254"/>
      <c r="O104" s="254"/>
      <c r="P104" s="254"/>
      <c r="R104" s="22"/>
    </row>
    <row r="105" spans="2:63" s="154" customFormat="1" ht="7.5" customHeight="1" x14ac:dyDescent="0.3">
      <c r="B105" s="21"/>
      <c r="R105" s="22"/>
    </row>
    <row r="106" spans="2:63" s="154" customFormat="1" ht="15.75" customHeight="1" x14ac:dyDescent="0.3">
      <c r="B106" s="21"/>
      <c r="C106" s="18" t="s">
        <v>17</v>
      </c>
      <c r="F106" s="156" t="str">
        <f>$E$13</f>
        <v>ČEPRO, a.s., Dělnická 213/12, Holešovice, 170 00 Praha 7</v>
      </c>
      <c r="L106" s="18" t="s">
        <v>22</v>
      </c>
      <c r="M106" s="253" t="str">
        <f>$E$19</f>
        <v>YOUNG4ENERGY s.r.o.</v>
      </c>
      <c r="N106" s="254"/>
      <c r="O106" s="254"/>
      <c r="P106" s="254"/>
      <c r="Q106" s="254"/>
      <c r="R106" s="22"/>
    </row>
    <row r="107" spans="2:63" s="154" customFormat="1" ht="15" customHeight="1" x14ac:dyDescent="0.3">
      <c r="B107" s="21"/>
      <c r="C107" s="18" t="s">
        <v>20</v>
      </c>
      <c r="F107" s="156" t="str">
        <f>IF($E$16="","",$E$16)</f>
        <v>Vyplň údaj</v>
      </c>
      <c r="L107" s="18" t="s">
        <v>23</v>
      </c>
      <c r="M107" s="253" t="str">
        <f>$E$22</f>
        <v>YOUNG4ENERGY s.r.o.</v>
      </c>
      <c r="N107" s="254"/>
      <c r="O107" s="254"/>
      <c r="P107" s="254"/>
      <c r="Q107" s="254"/>
      <c r="R107" s="22"/>
    </row>
    <row r="108" spans="2:63" s="154" customFormat="1" ht="11.25" customHeight="1" x14ac:dyDescent="0.3">
      <c r="B108" s="21"/>
      <c r="R108" s="22"/>
    </row>
    <row r="109" spans="2:63" s="107" customFormat="1" ht="30" customHeight="1" x14ac:dyDescent="0.3">
      <c r="B109" s="103"/>
      <c r="C109" s="104" t="s">
        <v>91</v>
      </c>
      <c r="D109" s="166" t="s">
        <v>92</v>
      </c>
      <c r="E109" s="166" t="s">
        <v>45</v>
      </c>
      <c r="F109" s="317" t="s">
        <v>93</v>
      </c>
      <c r="G109" s="318"/>
      <c r="H109" s="318"/>
      <c r="I109" s="318"/>
      <c r="J109" s="166" t="s">
        <v>94</v>
      </c>
      <c r="K109" s="166" t="s">
        <v>95</v>
      </c>
      <c r="L109" s="317" t="s">
        <v>96</v>
      </c>
      <c r="M109" s="318"/>
      <c r="N109" s="317" t="s">
        <v>97</v>
      </c>
      <c r="O109" s="318"/>
      <c r="P109" s="318"/>
      <c r="Q109" s="319"/>
      <c r="R109" s="106"/>
      <c r="T109" s="55" t="s">
        <v>98</v>
      </c>
      <c r="U109" s="56" t="s">
        <v>27</v>
      </c>
      <c r="V109" s="56" t="s">
        <v>99</v>
      </c>
      <c r="W109" s="56" t="s">
        <v>100</v>
      </c>
      <c r="X109" s="56" t="s">
        <v>101</v>
      </c>
      <c r="Y109" s="56" t="s">
        <v>102</v>
      </c>
      <c r="Z109" s="56" t="s">
        <v>103</v>
      </c>
      <c r="AA109" s="57" t="s">
        <v>104</v>
      </c>
    </row>
    <row r="110" spans="2:63" s="163" customFormat="1" ht="30" customHeight="1" x14ac:dyDescent="0.3">
      <c r="B110" s="21"/>
      <c r="C110" s="164" t="s">
        <v>84</v>
      </c>
      <c r="N110" s="276">
        <f>N111+N146+N122</f>
        <v>0</v>
      </c>
      <c r="O110" s="254"/>
      <c r="P110" s="254"/>
      <c r="Q110" s="254"/>
      <c r="R110" s="22"/>
      <c r="T110" s="58"/>
      <c r="U110" s="35"/>
      <c r="V110" s="35"/>
      <c r="W110" s="108" t="e">
        <f>$W$111+#REF!+#REF!</f>
        <v>#REF!</v>
      </c>
      <c r="X110" s="35"/>
      <c r="Y110" s="108" t="e">
        <f>$Y$111+#REF!+#REF!</f>
        <v>#REF!</v>
      </c>
      <c r="Z110" s="35"/>
      <c r="AA110" s="109" t="e">
        <f>$AA$111+#REF!+#REF!</f>
        <v>#REF!</v>
      </c>
      <c r="BK110" s="110"/>
    </row>
    <row r="111" spans="2:63" s="141" customFormat="1" ht="24.95" customHeight="1" x14ac:dyDescent="0.35">
      <c r="B111" s="140"/>
      <c r="D111" s="113" t="s">
        <v>171</v>
      </c>
      <c r="E111" s="113"/>
      <c r="F111" s="113"/>
      <c r="G111" s="113"/>
      <c r="H111" s="113"/>
      <c r="I111" s="113"/>
      <c r="J111" s="113"/>
      <c r="K111" s="113"/>
      <c r="L111" s="113"/>
      <c r="M111" s="113"/>
      <c r="N111" s="314">
        <f>N112</f>
        <v>0</v>
      </c>
      <c r="O111" s="314"/>
      <c r="P111" s="314"/>
      <c r="Q111" s="314"/>
      <c r="R111" s="142"/>
      <c r="T111" s="143"/>
      <c r="W111" s="144" t="e">
        <f>$W$112+#REF!+$W$123+#REF!+#REF!+#REF!</f>
        <v>#REF!</v>
      </c>
      <c r="Y111" s="144" t="e">
        <f>$Y$112+#REF!+$Y$123+#REF!+#REF!+#REF!</f>
        <v>#REF!</v>
      </c>
      <c r="AA111" s="145" t="e">
        <f>$AA$112+#REF!+$AA$123+#REF!+#REF!+#REF!</f>
        <v>#REF!</v>
      </c>
      <c r="AR111" s="165"/>
      <c r="AT111" s="165"/>
      <c r="AU111" s="165"/>
      <c r="AY111" s="165"/>
      <c r="BK111" s="146"/>
    </row>
    <row r="112" spans="2:63" s="141" customFormat="1" ht="20.100000000000001" customHeight="1" x14ac:dyDescent="0.3">
      <c r="B112" s="140"/>
      <c r="D112" s="138" t="s">
        <v>165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323">
        <f>SUM(N113:Q121)</f>
        <v>0</v>
      </c>
      <c r="O112" s="323"/>
      <c r="P112" s="323"/>
      <c r="Q112" s="323"/>
      <c r="R112" s="142"/>
      <c r="T112" s="143"/>
      <c r="W112" s="144" t="e">
        <f>SUM($W$113:$W$121)</f>
        <v>#REF!</v>
      </c>
      <c r="Y112" s="144" t="e">
        <f>SUM($Y$113:$Y$121)</f>
        <v>#REF!</v>
      </c>
      <c r="AA112" s="145" t="e">
        <f>SUM($AA$113:$AA$121)</f>
        <v>#REF!</v>
      </c>
      <c r="AR112" s="165"/>
      <c r="AT112" s="165"/>
      <c r="AU112" s="165"/>
      <c r="AY112" s="165"/>
      <c r="BK112" s="146"/>
    </row>
    <row r="113" spans="2:63" s="163" customFormat="1" ht="20.100000000000001" customHeight="1" x14ac:dyDescent="0.3">
      <c r="B113" s="21"/>
      <c r="C113" s="147">
        <v>1</v>
      </c>
      <c r="D113" s="139"/>
      <c r="E113" s="189"/>
      <c r="F113" s="292" t="s">
        <v>120</v>
      </c>
      <c r="G113" s="293" t="s">
        <v>120</v>
      </c>
      <c r="H113" s="293" t="s">
        <v>120</v>
      </c>
      <c r="I113" s="294" t="s">
        <v>120</v>
      </c>
      <c r="J113" s="122" t="s">
        <v>112</v>
      </c>
      <c r="K113" s="148">
        <v>366</v>
      </c>
      <c r="L113" s="300">
        <v>0</v>
      </c>
      <c r="M113" s="300"/>
      <c r="N113" s="302">
        <f>ROUND(L113*K113,2)</f>
        <v>0</v>
      </c>
      <c r="O113" s="303"/>
      <c r="P113" s="303"/>
      <c r="Q113" s="304"/>
      <c r="R113" s="22"/>
      <c r="T113" s="124"/>
      <c r="U113" s="28" t="s">
        <v>28</v>
      </c>
      <c r="V113" s="125">
        <v>0.497</v>
      </c>
      <c r="W113" s="125">
        <f>$V$113*$K$113</f>
        <v>181.90199999999999</v>
      </c>
      <c r="X113" s="125">
        <v>3.4000000000000002E-4</v>
      </c>
      <c r="Y113" s="125">
        <f>$X$113*$K$113</f>
        <v>0.12444000000000001</v>
      </c>
      <c r="Z113" s="125">
        <v>0</v>
      </c>
      <c r="AA113" s="126">
        <f>$Z$113*$K$113</f>
        <v>0</v>
      </c>
      <c r="BE113" s="88"/>
      <c r="BF113" s="88"/>
      <c r="BG113" s="88"/>
      <c r="BH113" s="88"/>
      <c r="BI113" s="88"/>
      <c r="BK113" s="88"/>
    </row>
    <row r="114" spans="2:63" s="163" customFormat="1" ht="45" customHeight="1" x14ac:dyDescent="0.3">
      <c r="B114" s="21"/>
      <c r="C114" s="147">
        <f t="shared" ref="C114:C121" si="0">C113+1</f>
        <v>2</v>
      </c>
      <c r="D114" s="131"/>
      <c r="E114" s="189"/>
      <c r="F114" s="292" t="s">
        <v>240</v>
      </c>
      <c r="G114" s="293" t="s">
        <v>145</v>
      </c>
      <c r="H114" s="293" t="s">
        <v>145</v>
      </c>
      <c r="I114" s="294" t="s">
        <v>145</v>
      </c>
      <c r="J114" s="150" t="s">
        <v>112</v>
      </c>
      <c r="K114" s="180">
        <v>366</v>
      </c>
      <c r="L114" s="300">
        <v>0</v>
      </c>
      <c r="M114" s="301"/>
      <c r="N114" s="288">
        <f t="shared" ref="N114" si="1">ROUND(L114*K114,2)</f>
        <v>0</v>
      </c>
      <c r="O114" s="289"/>
      <c r="P114" s="289"/>
      <c r="Q114" s="289"/>
      <c r="R114" s="22"/>
      <c r="T114" s="124"/>
      <c r="U114" s="28" t="s">
        <v>28</v>
      </c>
      <c r="V114" s="125">
        <v>0.497</v>
      </c>
      <c r="W114" s="125">
        <f>$V$114*$K$114</f>
        <v>181.90199999999999</v>
      </c>
      <c r="X114" s="125">
        <v>3.4000000000000002E-4</v>
      </c>
      <c r="Y114" s="125">
        <f>$X$114*$K$114</f>
        <v>0.12444000000000001</v>
      </c>
      <c r="Z114" s="125">
        <v>0</v>
      </c>
      <c r="AA114" s="126">
        <f>$Z$114*$K$114</f>
        <v>0</v>
      </c>
      <c r="BE114" s="88"/>
      <c r="BF114" s="88"/>
      <c r="BG114" s="88"/>
      <c r="BH114" s="88"/>
      <c r="BI114" s="88"/>
      <c r="BK114" s="88"/>
    </row>
    <row r="115" spans="2:63" s="163" customFormat="1" ht="30" customHeight="1" x14ac:dyDescent="0.3">
      <c r="B115" s="21"/>
      <c r="C115" s="147">
        <f t="shared" si="0"/>
        <v>3</v>
      </c>
      <c r="D115" s="147"/>
      <c r="E115" s="189"/>
      <c r="F115" s="292" t="s">
        <v>193</v>
      </c>
      <c r="G115" s="293" t="s">
        <v>121</v>
      </c>
      <c r="H115" s="293" t="s">
        <v>121</v>
      </c>
      <c r="I115" s="294" t="s">
        <v>121</v>
      </c>
      <c r="J115" s="150" t="s">
        <v>112</v>
      </c>
      <c r="K115" s="148">
        <v>366</v>
      </c>
      <c r="L115" s="300">
        <v>0</v>
      </c>
      <c r="M115" s="301"/>
      <c r="N115" s="302">
        <f t="shared" ref="N115:N121" si="2">ROUND(L115*K115,2)</f>
        <v>0</v>
      </c>
      <c r="O115" s="303"/>
      <c r="P115" s="303"/>
      <c r="Q115" s="304"/>
      <c r="R115" s="22"/>
      <c r="T115" s="124"/>
      <c r="U115" s="28" t="s">
        <v>28</v>
      </c>
      <c r="V115" s="125">
        <v>0.497</v>
      </c>
      <c r="W115" s="125">
        <f>$V$115*$K$115</f>
        <v>181.90199999999999</v>
      </c>
      <c r="X115" s="125">
        <v>3.4000000000000002E-4</v>
      </c>
      <c r="Y115" s="125">
        <f>$X$115*$K$115</f>
        <v>0.12444000000000001</v>
      </c>
      <c r="Z115" s="125">
        <v>0</v>
      </c>
      <c r="AA115" s="126">
        <f>$Z$115*$K$115</f>
        <v>0</v>
      </c>
      <c r="BE115" s="88"/>
      <c r="BF115" s="88"/>
      <c r="BG115" s="88"/>
      <c r="BH115" s="88"/>
      <c r="BI115" s="88"/>
      <c r="BK115" s="88"/>
    </row>
    <row r="116" spans="2:63" s="163" customFormat="1" ht="30" customHeight="1" x14ac:dyDescent="0.3">
      <c r="B116" s="21"/>
      <c r="C116" s="147">
        <f t="shared" si="0"/>
        <v>4</v>
      </c>
      <c r="D116" s="147"/>
      <c r="E116" s="189"/>
      <c r="F116" s="292" t="s">
        <v>194</v>
      </c>
      <c r="G116" s="293" t="s">
        <v>122</v>
      </c>
      <c r="H116" s="293" t="s">
        <v>122</v>
      </c>
      <c r="I116" s="294" t="s">
        <v>122</v>
      </c>
      <c r="J116" s="150" t="s">
        <v>109</v>
      </c>
      <c r="K116" s="148">
        <v>1</v>
      </c>
      <c r="L116" s="300">
        <v>0</v>
      </c>
      <c r="M116" s="301"/>
      <c r="N116" s="302">
        <f t="shared" si="2"/>
        <v>0</v>
      </c>
      <c r="O116" s="303"/>
      <c r="P116" s="303"/>
      <c r="Q116" s="304"/>
      <c r="R116" s="22"/>
      <c r="T116" s="124"/>
      <c r="U116" s="28" t="s">
        <v>28</v>
      </c>
      <c r="V116" s="125">
        <v>0.497</v>
      </c>
      <c r="W116" s="125">
        <f>$V$116*$K$116</f>
        <v>0.497</v>
      </c>
      <c r="X116" s="125">
        <v>3.4000000000000002E-4</v>
      </c>
      <c r="Y116" s="125">
        <f>$X$116*$K$116</f>
        <v>3.4000000000000002E-4</v>
      </c>
      <c r="Z116" s="125">
        <v>0</v>
      </c>
      <c r="AA116" s="126">
        <f>$Z$116*$K$116</f>
        <v>0</v>
      </c>
      <c r="BE116" s="88"/>
      <c r="BF116" s="88"/>
      <c r="BG116" s="88"/>
      <c r="BH116" s="88"/>
      <c r="BI116" s="88"/>
      <c r="BK116" s="88"/>
    </row>
    <row r="117" spans="2:63" s="163" customFormat="1" ht="60" customHeight="1" x14ac:dyDescent="0.3">
      <c r="B117" s="21"/>
      <c r="C117" s="147">
        <f t="shared" si="0"/>
        <v>5</v>
      </c>
      <c r="D117" s="147"/>
      <c r="E117" s="189"/>
      <c r="F117" s="292" t="s">
        <v>209</v>
      </c>
      <c r="G117" s="293" t="s">
        <v>146</v>
      </c>
      <c r="H117" s="293" t="s">
        <v>146</v>
      </c>
      <c r="I117" s="294" t="s">
        <v>146</v>
      </c>
      <c r="J117" s="150" t="s">
        <v>112</v>
      </c>
      <c r="K117" s="148">
        <v>1</v>
      </c>
      <c r="L117" s="300">
        <v>0</v>
      </c>
      <c r="M117" s="301"/>
      <c r="N117" s="302">
        <f t="shared" ref="N117:N118" si="3">ROUND(L117*K117,2)</f>
        <v>0</v>
      </c>
      <c r="O117" s="303"/>
      <c r="P117" s="303"/>
      <c r="Q117" s="304"/>
      <c r="R117" s="22"/>
      <c r="T117" s="124"/>
      <c r="U117" s="28" t="s">
        <v>28</v>
      </c>
      <c r="V117" s="125">
        <v>0.26700000000000002</v>
      </c>
      <c r="W117" s="125" t="e">
        <f>#REF!*#REF!</f>
        <v>#REF!</v>
      </c>
      <c r="X117" s="125">
        <v>1E-4</v>
      </c>
      <c r="Y117" s="125" t="e">
        <f>#REF!*#REF!</f>
        <v>#REF!</v>
      </c>
      <c r="Z117" s="125">
        <v>0</v>
      </c>
      <c r="AA117" s="126" t="e">
        <f>#REF!*#REF!</f>
        <v>#REF!</v>
      </c>
      <c r="BE117" s="88"/>
      <c r="BF117" s="88"/>
      <c r="BG117" s="88"/>
      <c r="BH117" s="88"/>
      <c r="BI117" s="88"/>
      <c r="BK117" s="88"/>
    </row>
    <row r="118" spans="2:63" s="167" customFormat="1" ht="60" customHeight="1" x14ac:dyDescent="0.3">
      <c r="B118" s="21"/>
      <c r="C118" s="147">
        <f t="shared" si="0"/>
        <v>6</v>
      </c>
      <c r="D118" s="147"/>
      <c r="F118" s="292" t="s">
        <v>210</v>
      </c>
      <c r="G118" s="293" t="s">
        <v>146</v>
      </c>
      <c r="H118" s="293" t="s">
        <v>146</v>
      </c>
      <c r="I118" s="294" t="s">
        <v>146</v>
      </c>
      <c r="J118" s="182" t="s">
        <v>112</v>
      </c>
      <c r="K118" s="180">
        <v>1</v>
      </c>
      <c r="L118" s="300">
        <v>0</v>
      </c>
      <c r="M118" s="301"/>
      <c r="N118" s="302">
        <f t="shared" si="3"/>
        <v>0</v>
      </c>
      <c r="O118" s="303"/>
      <c r="P118" s="303"/>
      <c r="Q118" s="304"/>
      <c r="R118" s="22"/>
      <c r="T118" s="124"/>
      <c r="U118" s="28" t="s">
        <v>28</v>
      </c>
      <c r="V118" s="125">
        <v>0.26700000000000002</v>
      </c>
      <c r="W118" s="125" t="e">
        <f>#REF!*#REF!</f>
        <v>#REF!</v>
      </c>
      <c r="X118" s="125">
        <v>1E-4</v>
      </c>
      <c r="Y118" s="125" t="e">
        <f>#REF!*#REF!</f>
        <v>#REF!</v>
      </c>
      <c r="Z118" s="125">
        <v>0</v>
      </c>
      <c r="AA118" s="126" t="e">
        <f>#REF!*#REF!</f>
        <v>#REF!</v>
      </c>
      <c r="BE118" s="88"/>
      <c r="BF118" s="88"/>
      <c r="BG118" s="88"/>
      <c r="BH118" s="88"/>
      <c r="BI118" s="88"/>
      <c r="BK118" s="88"/>
    </row>
    <row r="119" spans="2:63" s="163" customFormat="1" ht="84.95" customHeight="1" x14ac:dyDescent="0.3">
      <c r="B119" s="21"/>
      <c r="C119" s="147">
        <f>C118+1</f>
        <v>7</v>
      </c>
      <c r="D119" s="147"/>
      <c r="E119" s="189"/>
      <c r="F119" s="292" t="s">
        <v>241</v>
      </c>
      <c r="G119" s="293" t="s">
        <v>123</v>
      </c>
      <c r="H119" s="293" t="s">
        <v>123</v>
      </c>
      <c r="I119" s="294" t="s">
        <v>123</v>
      </c>
      <c r="J119" s="150" t="s">
        <v>112</v>
      </c>
      <c r="K119" s="148">
        <v>183</v>
      </c>
      <c r="L119" s="324">
        <v>0</v>
      </c>
      <c r="M119" s="325"/>
      <c r="N119" s="302">
        <f t="shared" si="2"/>
        <v>0</v>
      </c>
      <c r="O119" s="303"/>
      <c r="P119" s="303"/>
      <c r="Q119" s="304"/>
      <c r="R119" s="22"/>
      <c r="T119" s="124"/>
      <c r="U119" s="28" t="s">
        <v>28</v>
      </c>
      <c r="V119" s="125">
        <v>0.26700000000000002</v>
      </c>
      <c r="W119" s="125" t="e">
        <f>#REF!*#REF!</f>
        <v>#REF!</v>
      </c>
      <c r="X119" s="125">
        <v>1E-4</v>
      </c>
      <c r="Y119" s="125" t="e">
        <f>#REF!*#REF!</f>
        <v>#REF!</v>
      </c>
      <c r="Z119" s="125">
        <v>0</v>
      </c>
      <c r="AA119" s="126" t="e">
        <f>#REF!*#REF!</f>
        <v>#REF!</v>
      </c>
      <c r="BE119" s="88"/>
      <c r="BF119" s="88"/>
      <c r="BG119" s="88"/>
      <c r="BH119" s="88"/>
      <c r="BI119" s="88"/>
      <c r="BK119" s="88"/>
    </row>
    <row r="120" spans="2:63" s="163" customFormat="1" ht="20.100000000000001" customHeight="1" x14ac:dyDescent="0.3">
      <c r="B120" s="21"/>
      <c r="C120" s="147">
        <f>C119+1</f>
        <v>8</v>
      </c>
      <c r="D120" s="147"/>
      <c r="E120" s="189"/>
      <c r="F120" s="292" t="s">
        <v>123</v>
      </c>
      <c r="G120" s="293" t="s">
        <v>123</v>
      </c>
      <c r="H120" s="293" t="s">
        <v>123</v>
      </c>
      <c r="I120" s="294" t="s">
        <v>123</v>
      </c>
      <c r="J120" s="150" t="s">
        <v>112</v>
      </c>
      <c r="K120" s="148">
        <v>2</v>
      </c>
      <c r="L120" s="300">
        <v>0</v>
      </c>
      <c r="M120" s="301"/>
      <c r="N120" s="302">
        <f t="shared" si="2"/>
        <v>0</v>
      </c>
      <c r="O120" s="303"/>
      <c r="P120" s="303"/>
      <c r="Q120" s="304"/>
      <c r="R120" s="22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3" s="163" customFormat="1" ht="45" customHeight="1" x14ac:dyDescent="0.3">
      <c r="B121" s="21"/>
      <c r="C121" s="147">
        <f t="shared" si="0"/>
        <v>9</v>
      </c>
      <c r="D121" s="147"/>
      <c r="E121" s="189"/>
      <c r="F121" s="292" t="s">
        <v>226</v>
      </c>
      <c r="G121" s="293" t="s">
        <v>124</v>
      </c>
      <c r="H121" s="293" t="s">
        <v>124</v>
      </c>
      <c r="I121" s="294" t="s">
        <v>124</v>
      </c>
      <c r="J121" s="150" t="s">
        <v>109</v>
      </c>
      <c r="K121" s="148">
        <v>1</v>
      </c>
      <c r="L121" s="300">
        <v>0</v>
      </c>
      <c r="M121" s="301"/>
      <c r="N121" s="302">
        <f t="shared" si="2"/>
        <v>0</v>
      </c>
      <c r="O121" s="303"/>
      <c r="P121" s="303"/>
      <c r="Q121" s="304"/>
      <c r="R121" s="22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3" s="141" customFormat="1" ht="24.95" customHeight="1" x14ac:dyDescent="0.35">
      <c r="B122" s="140"/>
      <c r="D122" s="113" t="s">
        <v>127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314">
        <f>N123+N131+N135+N137+N143+N128</f>
        <v>0</v>
      </c>
      <c r="O122" s="314"/>
      <c r="P122" s="314"/>
      <c r="Q122" s="314"/>
      <c r="R122" s="142"/>
      <c r="T122" s="143"/>
      <c r="W122" s="144"/>
      <c r="Y122" s="144"/>
      <c r="AA122" s="145"/>
      <c r="AR122" s="165"/>
      <c r="AT122" s="165"/>
      <c r="AU122" s="165"/>
      <c r="AY122" s="165"/>
      <c r="BK122" s="146"/>
    </row>
    <row r="123" spans="2:63" s="141" customFormat="1" ht="20.100000000000001" customHeight="1" x14ac:dyDescent="0.3">
      <c r="B123" s="140"/>
      <c r="D123" s="138" t="s">
        <v>129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323">
        <f>SUM(N124:Q127)</f>
        <v>0</v>
      </c>
      <c r="O123" s="323"/>
      <c r="P123" s="323"/>
      <c r="Q123" s="323"/>
      <c r="R123" s="142"/>
      <c r="T123" s="143"/>
      <c r="W123" s="144" t="e">
        <f>SUM(#REF!)</f>
        <v>#REF!</v>
      </c>
      <c r="Y123" s="144" t="e">
        <f>SUM(#REF!)</f>
        <v>#REF!</v>
      </c>
      <c r="AA123" s="145" t="e">
        <f>SUM(#REF!)</f>
        <v>#REF!</v>
      </c>
      <c r="AR123" s="165"/>
      <c r="AT123" s="165"/>
      <c r="AU123" s="165"/>
      <c r="AY123" s="165"/>
      <c r="BK123" s="146"/>
    </row>
    <row r="124" spans="2:63" s="163" customFormat="1" ht="30" customHeight="1" x14ac:dyDescent="0.3">
      <c r="B124" s="21"/>
      <c r="C124" s="147">
        <f>C121+1</f>
        <v>10</v>
      </c>
      <c r="D124" s="147"/>
      <c r="E124" s="190"/>
      <c r="F124" s="292" t="s">
        <v>202</v>
      </c>
      <c r="G124" s="293"/>
      <c r="H124" s="293"/>
      <c r="I124" s="294"/>
      <c r="J124" s="150" t="s">
        <v>107</v>
      </c>
      <c r="K124" s="148">
        <v>550</v>
      </c>
      <c r="L124" s="300">
        <v>0</v>
      </c>
      <c r="M124" s="301"/>
      <c r="N124" s="302">
        <f>ROUND(L124*K124,2)</f>
        <v>0</v>
      </c>
      <c r="O124" s="303"/>
      <c r="P124" s="303"/>
      <c r="Q124" s="304"/>
      <c r="R124" s="22"/>
      <c r="T124" s="124"/>
      <c r="U124" s="28"/>
      <c r="V124" s="125"/>
      <c r="W124" s="125"/>
      <c r="X124" s="125"/>
      <c r="Y124" s="125"/>
      <c r="Z124" s="125"/>
      <c r="AA124" s="126"/>
      <c r="BE124" s="88"/>
      <c r="BF124" s="88"/>
      <c r="BG124" s="88"/>
      <c r="BH124" s="88"/>
      <c r="BI124" s="88"/>
      <c r="BK124" s="88"/>
    </row>
    <row r="125" spans="2:63" s="163" customFormat="1" ht="30" customHeight="1" x14ac:dyDescent="0.3">
      <c r="B125" s="21"/>
      <c r="C125" s="147">
        <f>C124+1</f>
        <v>11</v>
      </c>
      <c r="D125" s="147"/>
      <c r="E125" s="190"/>
      <c r="F125" s="292" t="s">
        <v>203</v>
      </c>
      <c r="G125" s="293"/>
      <c r="H125" s="293"/>
      <c r="I125" s="294"/>
      <c r="J125" s="150" t="s">
        <v>107</v>
      </c>
      <c r="K125" s="148">
        <v>450</v>
      </c>
      <c r="L125" s="300">
        <v>0</v>
      </c>
      <c r="M125" s="301"/>
      <c r="N125" s="302">
        <f t="shared" ref="N125:N127" si="4">ROUND(L125*K125,2)</f>
        <v>0</v>
      </c>
      <c r="O125" s="303"/>
      <c r="P125" s="303"/>
      <c r="Q125" s="304"/>
      <c r="R125" s="22"/>
      <c r="T125" s="124"/>
      <c r="U125" s="28"/>
      <c r="V125" s="125"/>
      <c r="W125" s="125"/>
      <c r="X125" s="125"/>
      <c r="Y125" s="125"/>
      <c r="Z125" s="125"/>
      <c r="AA125" s="126"/>
      <c r="BE125" s="88"/>
      <c r="BF125" s="88"/>
      <c r="BG125" s="88"/>
      <c r="BH125" s="88"/>
      <c r="BI125" s="88"/>
      <c r="BK125" s="88"/>
    </row>
    <row r="126" spans="2:63" s="163" customFormat="1" ht="30" customHeight="1" x14ac:dyDescent="0.3">
      <c r="B126" s="21"/>
      <c r="C126" s="147">
        <f>C125+1</f>
        <v>12</v>
      </c>
      <c r="D126" s="131"/>
      <c r="E126" s="190"/>
      <c r="F126" s="292" t="s">
        <v>195</v>
      </c>
      <c r="G126" s="293"/>
      <c r="H126" s="293"/>
      <c r="I126" s="294"/>
      <c r="J126" s="150" t="s">
        <v>112</v>
      </c>
      <c r="K126" s="148">
        <v>24</v>
      </c>
      <c r="L126" s="300">
        <v>0</v>
      </c>
      <c r="M126" s="301"/>
      <c r="N126" s="302">
        <f>ROUND(L126*K126,2)</f>
        <v>0</v>
      </c>
      <c r="O126" s="303"/>
      <c r="P126" s="303"/>
      <c r="Q126" s="304"/>
      <c r="R126" s="22"/>
      <c r="T126" s="124"/>
      <c r="U126" s="28"/>
      <c r="V126" s="125"/>
      <c r="W126" s="125"/>
      <c r="X126" s="125"/>
      <c r="Y126" s="125"/>
      <c r="Z126" s="125"/>
      <c r="AA126" s="126"/>
      <c r="BE126" s="88"/>
      <c r="BF126" s="88"/>
      <c r="BG126" s="88"/>
      <c r="BH126" s="88"/>
      <c r="BI126" s="88"/>
      <c r="BK126" s="88"/>
    </row>
    <row r="127" spans="2:63" s="163" customFormat="1" ht="30" customHeight="1" x14ac:dyDescent="0.3">
      <c r="B127" s="21"/>
      <c r="C127" s="147">
        <f>C126+1</f>
        <v>13</v>
      </c>
      <c r="D127" s="131"/>
      <c r="E127" s="190"/>
      <c r="F127" s="292" t="s">
        <v>196</v>
      </c>
      <c r="G127" s="293"/>
      <c r="H127" s="293"/>
      <c r="I127" s="294"/>
      <c r="J127" s="150" t="s">
        <v>112</v>
      </c>
      <c r="K127" s="148">
        <v>24</v>
      </c>
      <c r="L127" s="300">
        <v>0</v>
      </c>
      <c r="M127" s="301"/>
      <c r="N127" s="302">
        <f t="shared" si="4"/>
        <v>0</v>
      </c>
      <c r="O127" s="303"/>
      <c r="P127" s="303"/>
      <c r="Q127" s="304"/>
      <c r="R127" s="22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3" s="197" customFormat="1" ht="20.100000000000001" customHeight="1" x14ac:dyDescent="0.3">
      <c r="B128" s="175"/>
      <c r="C128" s="141"/>
      <c r="D128" s="138" t="s">
        <v>128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299">
        <f>SUM(N129:Q130)</f>
        <v>0</v>
      </c>
      <c r="O128" s="299"/>
      <c r="P128" s="299"/>
      <c r="Q128" s="299"/>
      <c r="R128" s="176"/>
      <c r="T128" s="133"/>
      <c r="U128" s="177"/>
      <c r="V128" s="181"/>
      <c r="W128" s="181"/>
      <c r="X128" s="181"/>
      <c r="Y128" s="181"/>
      <c r="Z128" s="181"/>
      <c r="AA128" s="126"/>
      <c r="BE128" s="178"/>
      <c r="BF128" s="178"/>
      <c r="BG128" s="178"/>
      <c r="BH128" s="178"/>
      <c r="BI128" s="178"/>
      <c r="BK128" s="178"/>
    </row>
    <row r="129" spans="2:63" s="197" customFormat="1" ht="30" customHeight="1" x14ac:dyDescent="0.3">
      <c r="B129" s="175"/>
      <c r="C129" s="179">
        <f>C127+1</f>
        <v>14</v>
      </c>
      <c r="D129" s="179"/>
      <c r="E129" s="190"/>
      <c r="F129" s="292" t="s">
        <v>242</v>
      </c>
      <c r="G129" s="293" t="s">
        <v>147</v>
      </c>
      <c r="H129" s="293" t="s">
        <v>147</v>
      </c>
      <c r="I129" s="294" t="s">
        <v>147</v>
      </c>
      <c r="J129" s="182" t="s">
        <v>109</v>
      </c>
      <c r="K129" s="180">
        <v>1</v>
      </c>
      <c r="L129" s="300">
        <v>0</v>
      </c>
      <c r="M129" s="301"/>
      <c r="N129" s="302">
        <f>ROUND(L129*K129,2)</f>
        <v>0</v>
      </c>
      <c r="O129" s="303"/>
      <c r="P129" s="303"/>
      <c r="Q129" s="304"/>
      <c r="R129" s="176"/>
      <c r="T129" s="133"/>
      <c r="U129" s="177"/>
      <c r="V129" s="181"/>
      <c r="W129" s="181"/>
      <c r="X129" s="181"/>
      <c r="Y129" s="181"/>
      <c r="Z129" s="181"/>
      <c r="AA129" s="126"/>
      <c r="BE129" s="178"/>
      <c r="BF129" s="178"/>
      <c r="BG129" s="178"/>
      <c r="BH129" s="178"/>
      <c r="BI129" s="178"/>
      <c r="BK129" s="178"/>
    </row>
    <row r="130" spans="2:63" s="197" customFormat="1" ht="30" customHeight="1" x14ac:dyDescent="0.3">
      <c r="B130" s="175"/>
      <c r="C130" s="179">
        <f>C129+1</f>
        <v>15</v>
      </c>
      <c r="D130" s="179"/>
      <c r="E130" s="190"/>
      <c r="F130" s="292" t="s">
        <v>243</v>
      </c>
      <c r="G130" s="293" t="s">
        <v>147</v>
      </c>
      <c r="H130" s="293" t="s">
        <v>147</v>
      </c>
      <c r="I130" s="294" t="s">
        <v>147</v>
      </c>
      <c r="J130" s="182" t="s">
        <v>109</v>
      </c>
      <c r="K130" s="180">
        <v>1</v>
      </c>
      <c r="L130" s="300">
        <v>0</v>
      </c>
      <c r="M130" s="301"/>
      <c r="N130" s="302">
        <f>ROUND(L130*K130,2)</f>
        <v>0</v>
      </c>
      <c r="O130" s="303"/>
      <c r="P130" s="303"/>
      <c r="Q130" s="304"/>
      <c r="R130" s="176"/>
      <c r="T130" s="133"/>
      <c r="U130" s="177"/>
      <c r="V130" s="181"/>
      <c r="W130" s="181"/>
      <c r="X130" s="181"/>
      <c r="Y130" s="181"/>
      <c r="Z130" s="181"/>
      <c r="AA130" s="126"/>
      <c r="BE130" s="178"/>
      <c r="BF130" s="178"/>
      <c r="BG130" s="178"/>
      <c r="BH130" s="178"/>
      <c r="BI130" s="178"/>
      <c r="BK130" s="178"/>
    </row>
    <row r="131" spans="2:63" s="141" customFormat="1" ht="20.100000000000001" customHeight="1" x14ac:dyDescent="0.3">
      <c r="B131" s="140"/>
      <c r="D131" s="138" t="s">
        <v>256</v>
      </c>
      <c r="E131" s="138"/>
      <c r="F131" s="138"/>
      <c r="G131" s="138"/>
      <c r="H131" s="138"/>
      <c r="I131" s="138"/>
      <c r="J131" s="138"/>
      <c r="K131" s="138"/>
      <c r="L131" s="138"/>
      <c r="M131" s="138"/>
      <c r="N131" s="297">
        <f>SUM(N132:Q134)</f>
        <v>0</v>
      </c>
      <c r="O131" s="298"/>
      <c r="P131" s="298"/>
      <c r="Q131" s="298"/>
      <c r="R131" s="142"/>
      <c r="T131" s="143"/>
      <c r="W131" s="144"/>
      <c r="Y131" s="144"/>
      <c r="AA131" s="145"/>
      <c r="AR131" s="165"/>
      <c r="AT131" s="165"/>
      <c r="AU131" s="165"/>
      <c r="AY131" s="165"/>
      <c r="BK131" s="146"/>
    </row>
    <row r="132" spans="2:63" s="163" customFormat="1" ht="30" customHeight="1" x14ac:dyDescent="0.3">
      <c r="B132" s="21"/>
      <c r="C132" s="179">
        <f>C130+1</f>
        <v>16</v>
      </c>
      <c r="D132" s="131"/>
      <c r="E132" s="190"/>
      <c r="F132" s="295" t="s">
        <v>218</v>
      </c>
      <c r="G132" s="296" t="s">
        <v>148</v>
      </c>
      <c r="H132" s="296" t="s">
        <v>148</v>
      </c>
      <c r="I132" s="296" t="s">
        <v>148</v>
      </c>
      <c r="J132" s="182" t="s">
        <v>112</v>
      </c>
      <c r="K132" s="180">
        <v>3</v>
      </c>
      <c r="L132" s="290">
        <v>0</v>
      </c>
      <c r="M132" s="291"/>
      <c r="N132" s="288">
        <f>ROUND(L132*K132,2)</f>
        <v>0</v>
      </c>
      <c r="O132" s="289"/>
      <c r="P132" s="289"/>
      <c r="Q132" s="289"/>
      <c r="R132" s="22"/>
      <c r="T132" s="124"/>
      <c r="U132" s="28"/>
      <c r="V132" s="125"/>
      <c r="W132" s="125"/>
      <c r="X132" s="125"/>
      <c r="Y132" s="125"/>
      <c r="Z132" s="125"/>
      <c r="AA132" s="126"/>
      <c r="BE132" s="88"/>
      <c r="BF132" s="88"/>
      <c r="BG132" s="88"/>
      <c r="BH132" s="88"/>
      <c r="BI132" s="88"/>
      <c r="BK132" s="88"/>
    </row>
    <row r="133" spans="2:63" s="163" customFormat="1" ht="45" customHeight="1" x14ac:dyDescent="0.3">
      <c r="B133" s="21"/>
      <c r="C133" s="179">
        <f>C132+1</f>
        <v>17</v>
      </c>
      <c r="D133" s="131"/>
      <c r="E133" s="190"/>
      <c r="F133" s="295" t="s">
        <v>217</v>
      </c>
      <c r="G133" s="296" t="s">
        <v>149</v>
      </c>
      <c r="H133" s="296" t="s">
        <v>149</v>
      </c>
      <c r="I133" s="296" t="s">
        <v>149</v>
      </c>
      <c r="J133" s="182" t="s">
        <v>109</v>
      </c>
      <c r="K133" s="180">
        <v>1</v>
      </c>
      <c r="L133" s="290">
        <v>0</v>
      </c>
      <c r="M133" s="291"/>
      <c r="N133" s="288">
        <f>ROUND(L133*K133,2)</f>
        <v>0</v>
      </c>
      <c r="O133" s="289"/>
      <c r="P133" s="289"/>
      <c r="Q133" s="289"/>
      <c r="R133" s="22"/>
      <c r="T133" s="124"/>
      <c r="U133" s="28"/>
      <c r="V133" s="125"/>
      <c r="W133" s="125"/>
      <c r="X133" s="125"/>
      <c r="Y133" s="125"/>
      <c r="Z133" s="125"/>
      <c r="AA133" s="126"/>
      <c r="BE133" s="88"/>
      <c r="BF133" s="88"/>
      <c r="BG133" s="88"/>
      <c r="BH133" s="88"/>
      <c r="BI133" s="88"/>
      <c r="BK133" s="88"/>
    </row>
    <row r="134" spans="2:63" s="163" customFormat="1" ht="20.100000000000001" customHeight="1" x14ac:dyDescent="0.3">
      <c r="B134" s="21"/>
      <c r="C134" s="179">
        <f>C133+1</f>
        <v>18</v>
      </c>
      <c r="D134" s="131"/>
      <c r="E134" s="190"/>
      <c r="F134" s="295" t="s">
        <v>166</v>
      </c>
      <c r="G134" s="296" t="s">
        <v>149</v>
      </c>
      <c r="H134" s="296" t="s">
        <v>149</v>
      </c>
      <c r="I134" s="296" t="s">
        <v>149</v>
      </c>
      <c r="J134" s="182" t="s">
        <v>139</v>
      </c>
      <c r="K134" s="180">
        <v>5</v>
      </c>
      <c r="L134" s="290">
        <v>0</v>
      </c>
      <c r="M134" s="291"/>
      <c r="N134" s="288">
        <f>ROUND(L134*K134,2)</f>
        <v>0</v>
      </c>
      <c r="O134" s="289"/>
      <c r="P134" s="289"/>
      <c r="Q134" s="289"/>
      <c r="R134" s="22"/>
      <c r="T134" s="124"/>
      <c r="U134" s="28"/>
      <c r="V134" s="125"/>
      <c r="W134" s="125"/>
      <c r="X134" s="125"/>
      <c r="Y134" s="125"/>
      <c r="Z134" s="125"/>
      <c r="AA134" s="126"/>
      <c r="BE134" s="88"/>
      <c r="BF134" s="88"/>
      <c r="BG134" s="88"/>
      <c r="BH134" s="88"/>
      <c r="BI134" s="88"/>
      <c r="BK134" s="88"/>
    </row>
    <row r="135" spans="2:63" s="163" customFormat="1" ht="20.100000000000001" customHeight="1" x14ac:dyDescent="0.3">
      <c r="B135" s="21"/>
      <c r="C135" s="141"/>
      <c r="D135" s="138" t="s">
        <v>167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299">
        <f>SUM(N136)</f>
        <v>0</v>
      </c>
      <c r="O135" s="299"/>
      <c r="P135" s="299"/>
      <c r="Q135" s="299"/>
      <c r="R135" s="22"/>
      <c r="T135" s="133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63" customFormat="1" ht="75" customHeight="1" x14ac:dyDescent="0.3">
      <c r="B136" s="21"/>
      <c r="C136" s="147">
        <f>C134+1</f>
        <v>19</v>
      </c>
      <c r="D136" s="147"/>
      <c r="E136" s="190"/>
      <c r="F136" s="292" t="s">
        <v>191</v>
      </c>
      <c r="G136" s="293" t="s">
        <v>168</v>
      </c>
      <c r="H136" s="293" t="s">
        <v>168</v>
      </c>
      <c r="I136" s="294" t="s">
        <v>168</v>
      </c>
      <c r="J136" s="150" t="s">
        <v>112</v>
      </c>
      <c r="K136" s="148">
        <v>1</v>
      </c>
      <c r="L136" s="300">
        <v>0</v>
      </c>
      <c r="M136" s="301"/>
      <c r="N136" s="302">
        <f>ROUND(L136*K136,2)</f>
        <v>0</v>
      </c>
      <c r="O136" s="303"/>
      <c r="P136" s="303"/>
      <c r="Q136" s="304"/>
      <c r="R136" s="22"/>
      <c r="T136" s="124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63" customFormat="1" ht="20.100000000000001" customHeight="1" x14ac:dyDescent="0.3">
      <c r="B137" s="21"/>
      <c r="C137" s="141"/>
      <c r="D137" s="138" t="s">
        <v>169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297">
        <f>SUM(N138:Q142)</f>
        <v>0</v>
      </c>
      <c r="O137" s="298"/>
      <c r="P137" s="298"/>
      <c r="Q137" s="298"/>
      <c r="R137" s="22"/>
      <c r="T137" s="133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163" customFormat="1" ht="30" customHeight="1" x14ac:dyDescent="0.3">
      <c r="B138" s="21"/>
      <c r="C138" s="147">
        <f>C136+1</f>
        <v>20</v>
      </c>
      <c r="D138" s="147"/>
      <c r="E138" s="190"/>
      <c r="F138" s="292" t="s">
        <v>198</v>
      </c>
      <c r="G138" s="293" t="s">
        <v>170</v>
      </c>
      <c r="H138" s="293" t="s">
        <v>170</v>
      </c>
      <c r="I138" s="294" t="s">
        <v>170</v>
      </c>
      <c r="J138" s="150" t="s">
        <v>107</v>
      </c>
      <c r="K138" s="148">
        <v>5</v>
      </c>
      <c r="L138" s="290">
        <v>0</v>
      </c>
      <c r="M138" s="291"/>
      <c r="N138" s="288">
        <f t="shared" ref="N138:N141" si="5">ROUND(L138*K138,2)</f>
        <v>0</v>
      </c>
      <c r="O138" s="289"/>
      <c r="P138" s="289"/>
      <c r="Q138" s="289"/>
      <c r="R138" s="22"/>
      <c r="T138" s="124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2:63" s="163" customFormat="1" ht="30" customHeight="1" x14ac:dyDescent="0.3">
      <c r="B139" s="21"/>
      <c r="C139" s="147">
        <f t="shared" ref="C139:C142" si="6">C138+1</f>
        <v>21</v>
      </c>
      <c r="D139" s="147"/>
      <c r="E139" s="190"/>
      <c r="F139" s="292" t="s">
        <v>201</v>
      </c>
      <c r="G139" s="293" t="s">
        <v>150</v>
      </c>
      <c r="H139" s="293" t="s">
        <v>150</v>
      </c>
      <c r="I139" s="294" t="s">
        <v>150</v>
      </c>
      <c r="J139" s="150" t="s">
        <v>107</v>
      </c>
      <c r="K139" s="148">
        <v>10</v>
      </c>
      <c r="L139" s="290">
        <v>0</v>
      </c>
      <c r="M139" s="291"/>
      <c r="N139" s="288">
        <f t="shared" si="5"/>
        <v>0</v>
      </c>
      <c r="O139" s="289"/>
      <c r="P139" s="289"/>
      <c r="Q139" s="289"/>
      <c r="R139" s="22"/>
      <c r="T139" s="124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2:63" s="163" customFormat="1" ht="30" customHeight="1" x14ac:dyDescent="0.3">
      <c r="B140" s="21"/>
      <c r="C140" s="147">
        <f t="shared" si="6"/>
        <v>22</v>
      </c>
      <c r="D140" s="147"/>
      <c r="E140" s="190"/>
      <c r="F140" s="292" t="s">
        <v>204</v>
      </c>
      <c r="G140" s="293" t="s">
        <v>135</v>
      </c>
      <c r="H140" s="293" t="s">
        <v>135</v>
      </c>
      <c r="I140" s="294" t="s">
        <v>135</v>
      </c>
      <c r="J140" s="150" t="s">
        <v>107</v>
      </c>
      <c r="K140" s="148">
        <v>5</v>
      </c>
      <c r="L140" s="290">
        <v>0</v>
      </c>
      <c r="M140" s="291"/>
      <c r="N140" s="288">
        <f t="shared" si="5"/>
        <v>0</v>
      </c>
      <c r="O140" s="289"/>
      <c r="P140" s="289"/>
      <c r="Q140" s="289"/>
      <c r="R140" s="22"/>
      <c r="T140" s="124"/>
      <c r="U140" s="28"/>
      <c r="V140" s="125"/>
      <c r="W140" s="125"/>
      <c r="X140" s="125"/>
      <c r="Y140" s="125"/>
      <c r="Z140" s="125"/>
      <c r="AA140" s="126"/>
      <c r="BE140" s="88"/>
      <c r="BF140" s="88"/>
      <c r="BG140" s="88"/>
      <c r="BH140" s="88"/>
      <c r="BI140" s="88"/>
      <c r="BK140" s="88"/>
    </row>
    <row r="141" spans="2:63" s="167" customFormat="1" ht="30" customHeight="1" x14ac:dyDescent="0.3">
      <c r="B141" s="21"/>
      <c r="C141" s="147">
        <f>C140+1</f>
        <v>23</v>
      </c>
      <c r="D141" s="147"/>
      <c r="E141" s="190"/>
      <c r="F141" s="292" t="s">
        <v>207</v>
      </c>
      <c r="G141" s="293" t="s">
        <v>135</v>
      </c>
      <c r="H141" s="293" t="s">
        <v>135</v>
      </c>
      <c r="I141" s="294" t="s">
        <v>135</v>
      </c>
      <c r="J141" s="150" t="s">
        <v>107</v>
      </c>
      <c r="K141" s="148">
        <v>5</v>
      </c>
      <c r="L141" s="290">
        <v>0</v>
      </c>
      <c r="M141" s="291"/>
      <c r="N141" s="288">
        <f t="shared" si="5"/>
        <v>0</v>
      </c>
      <c r="O141" s="289"/>
      <c r="P141" s="289"/>
      <c r="Q141" s="289"/>
      <c r="R141" s="22"/>
      <c r="T141" s="124"/>
      <c r="U141" s="28"/>
      <c r="V141" s="125"/>
      <c r="W141" s="125"/>
      <c r="X141" s="125"/>
      <c r="Y141" s="125"/>
      <c r="Z141" s="125"/>
      <c r="AA141" s="126"/>
      <c r="BE141" s="88"/>
      <c r="BF141" s="88"/>
      <c r="BG141" s="88"/>
      <c r="BH141" s="88"/>
      <c r="BI141" s="88"/>
      <c r="BK141" s="88"/>
    </row>
    <row r="142" spans="2:63" s="163" customFormat="1" ht="30" customHeight="1" x14ac:dyDescent="0.3">
      <c r="B142" s="21"/>
      <c r="C142" s="147">
        <f t="shared" si="6"/>
        <v>24</v>
      </c>
      <c r="D142" s="147"/>
      <c r="E142" s="190"/>
      <c r="F142" s="292" t="s">
        <v>261</v>
      </c>
      <c r="G142" s="293" t="s">
        <v>135</v>
      </c>
      <c r="H142" s="293" t="s">
        <v>135</v>
      </c>
      <c r="I142" s="294" t="s">
        <v>135</v>
      </c>
      <c r="J142" s="182" t="s">
        <v>107</v>
      </c>
      <c r="K142" s="180">
        <v>160</v>
      </c>
      <c r="L142" s="290">
        <v>0</v>
      </c>
      <c r="M142" s="291"/>
      <c r="N142" s="288">
        <f>ROUND(L142*K142,2)</f>
        <v>0</v>
      </c>
      <c r="O142" s="289"/>
      <c r="P142" s="289"/>
      <c r="Q142" s="289"/>
      <c r="R142" s="22"/>
      <c r="T142" s="124"/>
      <c r="U142" s="28"/>
      <c r="V142" s="125"/>
      <c r="W142" s="125"/>
      <c r="X142" s="125"/>
      <c r="Y142" s="125"/>
      <c r="Z142" s="125"/>
      <c r="AA142" s="126"/>
      <c r="BE142" s="88"/>
      <c r="BF142" s="88"/>
      <c r="BG142" s="88"/>
      <c r="BH142" s="88"/>
      <c r="BI142" s="88"/>
      <c r="BK142" s="88"/>
    </row>
    <row r="143" spans="2:63" s="163" customFormat="1" ht="20.100000000000001" customHeight="1" x14ac:dyDescent="0.3">
      <c r="B143" s="21"/>
      <c r="C143" s="132"/>
      <c r="D143" s="138" t="s">
        <v>172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297">
        <f>SUM(N144:Q145)</f>
        <v>0</v>
      </c>
      <c r="O143" s="298"/>
      <c r="P143" s="298"/>
      <c r="Q143" s="298"/>
      <c r="R143" s="22"/>
      <c r="T143" s="133"/>
      <c r="U143" s="28"/>
      <c r="V143" s="125"/>
      <c r="W143" s="125"/>
      <c r="X143" s="125"/>
      <c r="Y143" s="125"/>
      <c r="Z143" s="125"/>
      <c r="AA143" s="126"/>
      <c r="BE143" s="88"/>
      <c r="BF143" s="88"/>
      <c r="BG143" s="88"/>
      <c r="BH143" s="88"/>
      <c r="BI143" s="88"/>
      <c r="BK143" s="88"/>
    </row>
    <row r="144" spans="2:63" s="163" customFormat="1" ht="20.100000000000001" customHeight="1" x14ac:dyDescent="0.3">
      <c r="B144" s="21"/>
      <c r="C144" s="147">
        <f>C142+1</f>
        <v>25</v>
      </c>
      <c r="D144" s="147"/>
      <c r="E144" s="190"/>
      <c r="F144" s="295" t="s">
        <v>229</v>
      </c>
      <c r="G144" s="296" t="s">
        <v>151</v>
      </c>
      <c r="H144" s="296" t="s">
        <v>151</v>
      </c>
      <c r="I144" s="296" t="s">
        <v>151</v>
      </c>
      <c r="J144" s="150" t="s">
        <v>107</v>
      </c>
      <c r="K144" s="180">
        <v>15</v>
      </c>
      <c r="L144" s="290">
        <v>0</v>
      </c>
      <c r="M144" s="291"/>
      <c r="N144" s="288">
        <f>ROUND(L144*K144,2)</f>
        <v>0</v>
      </c>
      <c r="O144" s="289"/>
      <c r="P144" s="289"/>
      <c r="Q144" s="289"/>
      <c r="R144" s="22"/>
      <c r="T144" s="124"/>
      <c r="U144" s="28"/>
      <c r="V144" s="125"/>
      <c r="W144" s="125"/>
      <c r="X144" s="125"/>
      <c r="Y144" s="125"/>
      <c r="Z144" s="125"/>
      <c r="AA144" s="126"/>
      <c r="BE144" s="88"/>
      <c r="BF144" s="88"/>
      <c r="BG144" s="88"/>
      <c r="BH144" s="88"/>
      <c r="BI144" s="88"/>
      <c r="BK144" s="88"/>
    </row>
    <row r="145" spans="2:63" s="167" customFormat="1" ht="20.100000000000001" customHeight="1" x14ac:dyDescent="0.3">
      <c r="B145" s="21"/>
      <c r="C145" s="147">
        <f>C144+1</f>
        <v>26</v>
      </c>
      <c r="D145" s="147"/>
      <c r="E145" s="190"/>
      <c r="F145" s="295" t="s">
        <v>231</v>
      </c>
      <c r="G145" s="296" t="s">
        <v>151</v>
      </c>
      <c r="H145" s="296" t="s">
        <v>151</v>
      </c>
      <c r="I145" s="296" t="s">
        <v>151</v>
      </c>
      <c r="J145" s="150" t="s">
        <v>107</v>
      </c>
      <c r="K145" s="180">
        <v>13</v>
      </c>
      <c r="L145" s="290">
        <v>0</v>
      </c>
      <c r="M145" s="291"/>
      <c r="N145" s="288">
        <f>ROUND(L145*K145,2)</f>
        <v>0</v>
      </c>
      <c r="O145" s="289"/>
      <c r="P145" s="289"/>
      <c r="Q145" s="289"/>
      <c r="R145" s="22"/>
      <c r="T145" s="124"/>
      <c r="U145" s="28"/>
      <c r="V145" s="125"/>
      <c r="W145" s="125"/>
      <c r="X145" s="125"/>
      <c r="Y145" s="125"/>
      <c r="Z145" s="125"/>
      <c r="AA145" s="126"/>
      <c r="BE145" s="88"/>
      <c r="BF145" s="88"/>
      <c r="BG145" s="88"/>
      <c r="BH145" s="88"/>
      <c r="BI145" s="88"/>
      <c r="BK145" s="88"/>
    </row>
    <row r="146" spans="2:63" s="141" customFormat="1" ht="24.95" customHeight="1" x14ac:dyDescent="0.35">
      <c r="B146" s="140"/>
      <c r="D146" s="113" t="s">
        <v>144</v>
      </c>
      <c r="E146" s="113"/>
      <c r="F146" s="113"/>
      <c r="G146" s="113"/>
      <c r="H146" s="113"/>
      <c r="I146" s="113"/>
      <c r="J146" s="113"/>
      <c r="K146" s="113"/>
      <c r="L146" s="113"/>
      <c r="M146" s="113"/>
      <c r="N146" s="314">
        <f>N163+N160+N147+N158</f>
        <v>0</v>
      </c>
      <c r="O146" s="314"/>
      <c r="P146" s="314"/>
      <c r="Q146" s="314"/>
      <c r="R146" s="142"/>
      <c r="T146" s="143"/>
      <c r="W146" s="144"/>
      <c r="Y146" s="144"/>
      <c r="AA146" s="145"/>
      <c r="AR146" s="165"/>
      <c r="AT146" s="165"/>
      <c r="AU146" s="165"/>
      <c r="AY146" s="165"/>
      <c r="BK146" s="146"/>
    </row>
    <row r="147" spans="2:63" s="141" customFormat="1" ht="20.100000000000001" customHeight="1" x14ac:dyDescent="0.3">
      <c r="B147" s="140"/>
      <c r="D147" s="138" t="s">
        <v>130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297">
        <f>SUM(N148:Q157)</f>
        <v>0</v>
      </c>
      <c r="O147" s="298"/>
      <c r="P147" s="298"/>
      <c r="Q147" s="298"/>
      <c r="R147" s="142"/>
      <c r="T147" s="143"/>
      <c r="W147" s="144"/>
      <c r="Y147" s="144"/>
      <c r="AA147" s="145"/>
      <c r="AR147" s="165"/>
      <c r="AT147" s="165"/>
      <c r="AU147" s="165"/>
      <c r="AY147" s="165"/>
      <c r="BK147" s="146"/>
    </row>
    <row r="148" spans="2:63" s="163" customFormat="1" ht="20.100000000000001" customHeight="1" x14ac:dyDescent="0.3">
      <c r="B148" s="21"/>
      <c r="C148" s="179">
        <f>C145+1</f>
        <v>27</v>
      </c>
      <c r="D148" s="179"/>
      <c r="E148" s="190"/>
      <c r="F148" s="295" t="s">
        <v>235</v>
      </c>
      <c r="G148" s="309" t="s">
        <v>153</v>
      </c>
      <c r="H148" s="309" t="s">
        <v>153</v>
      </c>
      <c r="I148" s="309" t="s">
        <v>153</v>
      </c>
      <c r="J148" s="182" t="s">
        <v>112</v>
      </c>
      <c r="K148" s="180">
        <v>2</v>
      </c>
      <c r="L148" s="290">
        <v>0</v>
      </c>
      <c r="M148" s="291"/>
      <c r="N148" s="288">
        <f>ROUND(L148*K148,2)</f>
        <v>0</v>
      </c>
      <c r="O148" s="289"/>
      <c r="P148" s="289"/>
      <c r="Q148" s="289"/>
      <c r="R148" s="22"/>
      <c r="T148" s="124"/>
      <c r="U148" s="28"/>
      <c r="V148" s="125"/>
      <c r="W148" s="125"/>
      <c r="X148" s="125"/>
      <c r="Y148" s="125"/>
      <c r="Z148" s="125"/>
      <c r="AA148" s="126"/>
      <c r="BE148" s="88"/>
      <c r="BF148" s="88"/>
      <c r="BG148" s="88"/>
      <c r="BH148" s="88"/>
      <c r="BI148" s="88"/>
      <c r="BK148" s="88"/>
    </row>
    <row r="149" spans="2:63" s="163" customFormat="1" ht="20.100000000000001" customHeight="1" x14ac:dyDescent="0.3">
      <c r="B149" s="21"/>
      <c r="C149" s="147">
        <f t="shared" ref="C149:C151" si="7">C148+1</f>
        <v>28</v>
      </c>
      <c r="D149" s="147"/>
      <c r="E149" s="190"/>
      <c r="F149" s="295" t="s">
        <v>244</v>
      </c>
      <c r="G149" s="296" t="s">
        <v>153</v>
      </c>
      <c r="H149" s="296" t="s">
        <v>153</v>
      </c>
      <c r="I149" s="296" t="s">
        <v>153</v>
      </c>
      <c r="J149" s="150" t="s">
        <v>112</v>
      </c>
      <c r="K149" s="148">
        <v>2</v>
      </c>
      <c r="L149" s="290">
        <v>0</v>
      </c>
      <c r="M149" s="291"/>
      <c r="N149" s="288">
        <f t="shared" ref="N149:N153" si="8">ROUND(L149*K149,2)</f>
        <v>0</v>
      </c>
      <c r="O149" s="289"/>
      <c r="P149" s="289"/>
      <c r="Q149" s="289"/>
      <c r="R149" s="22"/>
      <c r="T149" s="124"/>
      <c r="U149" s="28"/>
      <c r="V149" s="125"/>
      <c r="W149" s="125"/>
      <c r="X149" s="125"/>
      <c r="Y149" s="125"/>
      <c r="Z149" s="125"/>
      <c r="AA149" s="126"/>
      <c r="BE149" s="88"/>
      <c r="BF149" s="88"/>
      <c r="BG149" s="88"/>
      <c r="BH149" s="88"/>
      <c r="BI149" s="88"/>
      <c r="BK149" s="88"/>
    </row>
    <row r="150" spans="2:63" s="163" customFormat="1" ht="20.100000000000001" customHeight="1" x14ac:dyDescent="0.3">
      <c r="B150" s="21"/>
      <c r="C150" s="147">
        <f t="shared" si="7"/>
        <v>29</v>
      </c>
      <c r="D150" s="147"/>
      <c r="E150" s="190"/>
      <c r="F150" s="295" t="s">
        <v>237</v>
      </c>
      <c r="G150" s="296" t="s">
        <v>153</v>
      </c>
      <c r="H150" s="296" t="s">
        <v>153</v>
      </c>
      <c r="I150" s="296" t="s">
        <v>153</v>
      </c>
      <c r="J150" s="150" t="s">
        <v>112</v>
      </c>
      <c r="K150" s="148">
        <v>2</v>
      </c>
      <c r="L150" s="290">
        <v>0</v>
      </c>
      <c r="M150" s="291"/>
      <c r="N150" s="288">
        <f t="shared" si="8"/>
        <v>0</v>
      </c>
      <c r="O150" s="289"/>
      <c r="P150" s="289"/>
      <c r="Q150" s="289"/>
      <c r="R150" s="22"/>
      <c r="T150" s="124"/>
      <c r="U150" s="28"/>
      <c r="V150" s="125"/>
      <c r="W150" s="125"/>
      <c r="X150" s="125"/>
      <c r="Y150" s="125"/>
      <c r="Z150" s="125"/>
      <c r="AA150" s="126"/>
      <c r="BE150" s="88"/>
      <c r="BF150" s="88"/>
      <c r="BG150" s="88"/>
      <c r="BH150" s="88"/>
      <c r="BI150" s="88"/>
      <c r="BK150" s="88"/>
    </row>
    <row r="151" spans="2:63" s="163" customFormat="1" ht="20.100000000000001" customHeight="1" x14ac:dyDescent="0.3">
      <c r="B151" s="21"/>
      <c r="C151" s="147">
        <f t="shared" si="7"/>
        <v>30</v>
      </c>
      <c r="D151" s="147"/>
      <c r="E151" s="190"/>
      <c r="F151" s="295" t="s">
        <v>245</v>
      </c>
      <c r="G151" s="296" t="s">
        <v>153</v>
      </c>
      <c r="H151" s="296" t="s">
        <v>153</v>
      </c>
      <c r="I151" s="296" t="s">
        <v>153</v>
      </c>
      <c r="J151" s="150" t="s">
        <v>112</v>
      </c>
      <c r="K151" s="148">
        <v>2</v>
      </c>
      <c r="L151" s="290">
        <v>0</v>
      </c>
      <c r="M151" s="291"/>
      <c r="N151" s="288">
        <f t="shared" si="8"/>
        <v>0</v>
      </c>
      <c r="O151" s="289"/>
      <c r="P151" s="289"/>
      <c r="Q151" s="289"/>
      <c r="R151" s="22"/>
      <c r="T151" s="124"/>
      <c r="U151" s="28"/>
      <c r="V151" s="125"/>
      <c r="W151" s="125"/>
      <c r="X151" s="125"/>
      <c r="Y151" s="125"/>
      <c r="Z151" s="125"/>
      <c r="AA151" s="126"/>
      <c r="BE151" s="88"/>
      <c r="BF151" s="88"/>
      <c r="BG151" s="88"/>
      <c r="BH151" s="88"/>
      <c r="BI151" s="88"/>
      <c r="BK151" s="88"/>
    </row>
    <row r="152" spans="2:63" s="163" customFormat="1" ht="20.100000000000001" customHeight="1" x14ac:dyDescent="0.3">
      <c r="B152" s="21"/>
      <c r="C152" s="147">
        <f t="shared" ref="C152:C157" si="9">C151+1</f>
        <v>31</v>
      </c>
      <c r="D152" s="147"/>
      <c r="E152" s="190"/>
      <c r="F152" s="295" t="s">
        <v>238</v>
      </c>
      <c r="G152" s="296" t="s">
        <v>154</v>
      </c>
      <c r="H152" s="296" t="s">
        <v>154</v>
      </c>
      <c r="I152" s="296" t="s">
        <v>154</v>
      </c>
      <c r="J152" s="150" t="s">
        <v>112</v>
      </c>
      <c r="K152" s="148">
        <v>2</v>
      </c>
      <c r="L152" s="290">
        <v>0</v>
      </c>
      <c r="M152" s="291"/>
      <c r="N152" s="288">
        <f t="shared" si="8"/>
        <v>0</v>
      </c>
      <c r="O152" s="289"/>
      <c r="P152" s="289"/>
      <c r="Q152" s="289"/>
      <c r="R152" s="22"/>
      <c r="T152" s="124"/>
      <c r="U152" s="28"/>
      <c r="V152" s="125"/>
      <c r="W152" s="125"/>
      <c r="X152" s="125"/>
      <c r="Y152" s="125"/>
      <c r="Z152" s="125"/>
      <c r="AA152" s="126"/>
      <c r="BE152" s="88"/>
      <c r="BF152" s="88"/>
      <c r="BG152" s="88"/>
      <c r="BH152" s="88"/>
      <c r="BI152" s="88"/>
      <c r="BK152" s="88"/>
    </row>
    <row r="153" spans="2:63" s="167" customFormat="1" ht="20.100000000000001" customHeight="1" x14ac:dyDescent="0.3">
      <c r="B153" s="21"/>
      <c r="C153" s="147">
        <f t="shared" si="9"/>
        <v>32</v>
      </c>
      <c r="D153" s="147"/>
      <c r="E153" s="190"/>
      <c r="F153" s="295" t="s">
        <v>239</v>
      </c>
      <c r="G153" s="296" t="s">
        <v>140</v>
      </c>
      <c r="H153" s="296" t="s">
        <v>140</v>
      </c>
      <c r="I153" s="296" t="s">
        <v>140</v>
      </c>
      <c r="J153" s="150" t="s">
        <v>112</v>
      </c>
      <c r="K153" s="148">
        <v>2</v>
      </c>
      <c r="L153" s="290">
        <v>0</v>
      </c>
      <c r="M153" s="291"/>
      <c r="N153" s="288">
        <f t="shared" si="8"/>
        <v>0</v>
      </c>
      <c r="O153" s="289"/>
      <c r="P153" s="289"/>
      <c r="Q153" s="289"/>
      <c r="R153" s="22"/>
      <c r="T153" s="124"/>
      <c r="U153" s="28"/>
      <c r="V153" s="125"/>
      <c r="W153" s="125"/>
      <c r="X153" s="125"/>
      <c r="Y153" s="125"/>
      <c r="Z153" s="125"/>
      <c r="AA153" s="126"/>
      <c r="BE153" s="88"/>
      <c r="BF153" s="88"/>
      <c r="BG153" s="88"/>
      <c r="BH153" s="88"/>
      <c r="BI153" s="88"/>
      <c r="BK153" s="88"/>
    </row>
    <row r="154" spans="2:63" s="163" customFormat="1" ht="30" customHeight="1" x14ac:dyDescent="0.3">
      <c r="B154" s="21"/>
      <c r="C154" s="147">
        <f t="shared" si="9"/>
        <v>33</v>
      </c>
      <c r="D154" s="147"/>
      <c r="E154" s="190"/>
      <c r="F154" s="295" t="s">
        <v>199</v>
      </c>
      <c r="G154" s="296" t="s">
        <v>155</v>
      </c>
      <c r="H154" s="296" t="s">
        <v>155</v>
      </c>
      <c r="I154" s="296" t="s">
        <v>155</v>
      </c>
      <c r="J154" s="150" t="s">
        <v>112</v>
      </c>
      <c r="K154" s="148">
        <v>18</v>
      </c>
      <c r="L154" s="290">
        <v>0</v>
      </c>
      <c r="M154" s="291"/>
      <c r="N154" s="288">
        <f t="shared" ref="N154" si="10">ROUND(L154*K154,2)</f>
        <v>0</v>
      </c>
      <c r="O154" s="289"/>
      <c r="P154" s="289"/>
      <c r="Q154" s="289"/>
      <c r="R154" s="22"/>
      <c r="T154" s="124"/>
      <c r="U154" s="28"/>
      <c r="V154" s="125"/>
      <c r="W154" s="125"/>
      <c r="X154" s="125"/>
      <c r="Y154" s="125"/>
      <c r="Z154" s="125"/>
      <c r="AA154" s="126"/>
      <c r="BE154" s="88"/>
      <c r="BF154" s="88"/>
      <c r="BG154" s="88"/>
      <c r="BH154" s="88"/>
      <c r="BI154" s="88"/>
      <c r="BK154" s="88"/>
    </row>
    <row r="155" spans="2:63" s="167" customFormat="1" ht="30" customHeight="1" x14ac:dyDescent="0.3">
      <c r="B155" s="21"/>
      <c r="C155" s="147">
        <f t="shared" si="9"/>
        <v>34</v>
      </c>
      <c r="D155" s="147"/>
      <c r="E155" s="190"/>
      <c r="F155" s="295" t="s">
        <v>206</v>
      </c>
      <c r="G155" s="296" t="s">
        <v>156</v>
      </c>
      <c r="H155" s="296" t="s">
        <v>156</v>
      </c>
      <c r="I155" s="296" t="s">
        <v>156</v>
      </c>
      <c r="J155" s="150" t="s">
        <v>112</v>
      </c>
      <c r="K155" s="148">
        <v>14</v>
      </c>
      <c r="L155" s="290">
        <v>0</v>
      </c>
      <c r="M155" s="291"/>
      <c r="N155" s="288">
        <f t="shared" ref="N155" si="11">ROUND(L155*K155,2)</f>
        <v>0</v>
      </c>
      <c r="O155" s="289"/>
      <c r="P155" s="289"/>
      <c r="Q155" s="289"/>
      <c r="R155" s="22"/>
      <c r="T155" s="124"/>
      <c r="U155" s="28"/>
      <c r="V155" s="125"/>
      <c r="W155" s="125"/>
      <c r="X155" s="125"/>
      <c r="Y155" s="125"/>
      <c r="Z155" s="125"/>
      <c r="AA155" s="126"/>
      <c r="BE155" s="88"/>
      <c r="BF155" s="88"/>
      <c r="BG155" s="88"/>
      <c r="BH155" s="88"/>
      <c r="BI155" s="88"/>
      <c r="BK155" s="88"/>
    </row>
    <row r="156" spans="2:63" s="163" customFormat="1" ht="30" customHeight="1" x14ac:dyDescent="0.3">
      <c r="B156" s="21"/>
      <c r="C156" s="147">
        <f t="shared" si="9"/>
        <v>35</v>
      </c>
      <c r="D156" s="147"/>
      <c r="E156" s="190"/>
      <c r="F156" s="295" t="s">
        <v>219</v>
      </c>
      <c r="G156" s="296" t="s">
        <v>125</v>
      </c>
      <c r="H156" s="296" t="s">
        <v>125</v>
      </c>
      <c r="I156" s="296" t="s">
        <v>125</v>
      </c>
      <c r="J156" s="150" t="s">
        <v>112</v>
      </c>
      <c r="K156" s="148">
        <v>10</v>
      </c>
      <c r="L156" s="300">
        <v>0</v>
      </c>
      <c r="M156" s="301"/>
      <c r="N156" s="302">
        <f>ROUND(L156*K156,2)</f>
        <v>0</v>
      </c>
      <c r="O156" s="303"/>
      <c r="P156" s="303"/>
      <c r="Q156" s="304"/>
      <c r="R156" s="22"/>
      <c r="T156" s="124"/>
      <c r="U156" s="28"/>
      <c r="V156" s="125"/>
      <c r="W156" s="125"/>
      <c r="X156" s="125"/>
      <c r="Y156" s="125"/>
      <c r="Z156" s="125"/>
      <c r="AA156" s="126"/>
      <c r="BE156" s="88"/>
      <c r="BF156" s="88"/>
      <c r="BG156" s="88"/>
      <c r="BH156" s="88"/>
      <c r="BI156" s="88"/>
      <c r="BK156" s="88"/>
    </row>
    <row r="157" spans="2:63" s="163" customFormat="1" ht="45" customHeight="1" x14ac:dyDescent="0.3">
      <c r="B157" s="21"/>
      <c r="C157" s="147">
        <f t="shared" si="9"/>
        <v>36</v>
      </c>
      <c r="D157" s="147"/>
      <c r="E157" s="190"/>
      <c r="F157" s="295" t="s">
        <v>227</v>
      </c>
      <c r="G157" s="296" t="s">
        <v>126</v>
      </c>
      <c r="H157" s="296" t="s">
        <v>126</v>
      </c>
      <c r="I157" s="296" t="s">
        <v>126</v>
      </c>
      <c r="J157" s="150" t="s">
        <v>112</v>
      </c>
      <c r="K157" s="148">
        <v>1</v>
      </c>
      <c r="L157" s="290">
        <v>0</v>
      </c>
      <c r="M157" s="291"/>
      <c r="N157" s="288">
        <f>ROUND(L157*K157,2)</f>
        <v>0</v>
      </c>
      <c r="O157" s="289"/>
      <c r="P157" s="289"/>
      <c r="Q157" s="289"/>
      <c r="R157" s="22"/>
      <c r="T157" s="124"/>
      <c r="U157" s="28"/>
      <c r="V157" s="125"/>
      <c r="W157" s="125"/>
      <c r="X157" s="125"/>
      <c r="Y157" s="125"/>
      <c r="Z157" s="125"/>
      <c r="AA157" s="126"/>
      <c r="BE157" s="88"/>
      <c r="BF157" s="88"/>
      <c r="BG157" s="88"/>
      <c r="BH157" s="88"/>
      <c r="BI157" s="88"/>
      <c r="BK157" s="88"/>
    </row>
    <row r="158" spans="2:63" s="197" customFormat="1" ht="20.100000000000001" customHeight="1" x14ac:dyDescent="0.3">
      <c r="B158" s="175"/>
      <c r="C158" s="141"/>
      <c r="D158" s="138" t="s">
        <v>131</v>
      </c>
      <c r="E158" s="138"/>
      <c r="F158" s="199"/>
      <c r="G158" s="199"/>
      <c r="H158" s="199"/>
      <c r="I158" s="199"/>
      <c r="J158" s="138"/>
      <c r="K158" s="138"/>
      <c r="L158" s="138"/>
      <c r="M158" s="138"/>
      <c r="N158" s="297">
        <f>SUM(N159:Q159)</f>
        <v>0</v>
      </c>
      <c r="O158" s="298"/>
      <c r="P158" s="298"/>
      <c r="Q158" s="298"/>
      <c r="R158" s="176"/>
      <c r="T158" s="133"/>
      <c r="U158" s="177"/>
      <c r="V158" s="181"/>
      <c r="W158" s="181"/>
      <c r="X158" s="181"/>
      <c r="Y158" s="181"/>
      <c r="Z158" s="181"/>
      <c r="AA158" s="126"/>
      <c r="BE158" s="178"/>
      <c r="BF158" s="178"/>
      <c r="BG158" s="178"/>
      <c r="BH158" s="178"/>
      <c r="BI158" s="178"/>
      <c r="BK158" s="178"/>
    </row>
    <row r="159" spans="2:63" s="197" customFormat="1" ht="30" customHeight="1" x14ac:dyDescent="0.3">
      <c r="B159" s="175"/>
      <c r="C159" s="179">
        <f>C157+1</f>
        <v>37</v>
      </c>
      <c r="D159" s="179"/>
      <c r="E159" s="190"/>
      <c r="F159" s="295" t="s">
        <v>225</v>
      </c>
      <c r="G159" s="296"/>
      <c r="H159" s="296"/>
      <c r="I159" s="296"/>
      <c r="J159" s="182" t="s">
        <v>109</v>
      </c>
      <c r="K159" s="180">
        <v>1</v>
      </c>
      <c r="L159" s="290">
        <v>0</v>
      </c>
      <c r="M159" s="291"/>
      <c r="N159" s="288">
        <f>ROUND(L159*K159,2)</f>
        <v>0</v>
      </c>
      <c r="O159" s="289"/>
      <c r="P159" s="289"/>
      <c r="Q159" s="289"/>
      <c r="R159" s="176"/>
      <c r="T159" s="133"/>
      <c r="U159" s="177"/>
      <c r="V159" s="181"/>
      <c r="W159" s="181"/>
      <c r="X159" s="181"/>
      <c r="Y159" s="181"/>
      <c r="Z159" s="181"/>
      <c r="AA159" s="126"/>
      <c r="BE159" s="178"/>
      <c r="BF159" s="178"/>
      <c r="BG159" s="178"/>
      <c r="BH159" s="178"/>
      <c r="BI159" s="178"/>
      <c r="BK159" s="178"/>
    </row>
    <row r="160" spans="2:63" s="141" customFormat="1" ht="20.100000000000001" customHeight="1" x14ac:dyDescent="0.3">
      <c r="B160" s="140"/>
      <c r="D160" s="138" t="s">
        <v>228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297">
        <f>SUM(N161:Q162)</f>
        <v>0</v>
      </c>
      <c r="O160" s="298"/>
      <c r="P160" s="298"/>
      <c r="Q160" s="298"/>
      <c r="R160" s="142"/>
      <c r="T160" s="143"/>
      <c r="W160" s="144"/>
      <c r="Y160" s="144"/>
      <c r="AA160" s="145"/>
      <c r="AR160" s="165"/>
      <c r="AT160" s="165"/>
      <c r="AU160" s="165"/>
      <c r="AY160" s="165"/>
      <c r="BK160" s="146"/>
    </row>
    <row r="161" spans="1:63" s="163" customFormat="1" ht="20.100000000000001" customHeight="1" x14ac:dyDescent="0.3">
      <c r="B161" s="21"/>
      <c r="C161" s="147">
        <f>C159+1</f>
        <v>38</v>
      </c>
      <c r="D161" s="147"/>
      <c r="E161" s="190"/>
      <c r="F161" s="292" t="s">
        <v>197</v>
      </c>
      <c r="G161" s="293" t="s">
        <v>157</v>
      </c>
      <c r="H161" s="293" t="s">
        <v>157</v>
      </c>
      <c r="I161" s="294" t="s">
        <v>157</v>
      </c>
      <c r="J161" s="182" t="s">
        <v>107</v>
      </c>
      <c r="K161" s="180">
        <v>5</v>
      </c>
      <c r="L161" s="300">
        <v>0</v>
      </c>
      <c r="M161" s="301"/>
      <c r="N161" s="302">
        <f>ROUND(L161*K161,2)</f>
        <v>0</v>
      </c>
      <c r="O161" s="303"/>
      <c r="P161" s="303"/>
      <c r="Q161" s="304"/>
      <c r="R161" s="22"/>
      <c r="T161" s="124"/>
      <c r="U161" s="28"/>
      <c r="V161" s="125"/>
      <c r="W161" s="125"/>
      <c r="X161" s="125"/>
      <c r="Y161" s="125"/>
      <c r="Z161" s="125"/>
      <c r="AA161" s="126"/>
      <c r="BE161" s="88"/>
      <c r="BF161" s="88"/>
      <c r="BG161" s="88"/>
      <c r="BH161" s="88"/>
      <c r="BI161" s="88"/>
      <c r="BK161" s="88"/>
    </row>
    <row r="162" spans="1:63" s="232" customFormat="1" ht="20.100000000000001" customHeight="1" x14ac:dyDescent="0.3">
      <c r="B162" s="175"/>
      <c r="C162" s="179">
        <f>C161+1</f>
        <v>39</v>
      </c>
      <c r="D162" s="179"/>
      <c r="E162" s="190"/>
      <c r="F162" s="292" t="s">
        <v>361</v>
      </c>
      <c r="G162" s="293" t="s">
        <v>157</v>
      </c>
      <c r="H162" s="293" t="s">
        <v>157</v>
      </c>
      <c r="I162" s="294" t="s">
        <v>157</v>
      </c>
      <c r="J162" s="182" t="s">
        <v>107</v>
      </c>
      <c r="K162" s="180">
        <v>160</v>
      </c>
      <c r="L162" s="300">
        <v>0</v>
      </c>
      <c r="M162" s="301"/>
      <c r="N162" s="302">
        <f>ROUND(L162*K162,2)</f>
        <v>0</v>
      </c>
      <c r="O162" s="303"/>
      <c r="P162" s="303"/>
      <c r="Q162" s="304"/>
      <c r="R162" s="176"/>
      <c r="T162" s="133"/>
      <c r="U162" s="177"/>
      <c r="V162" s="181"/>
      <c r="W162" s="181"/>
      <c r="X162" s="181"/>
      <c r="Y162" s="181"/>
      <c r="Z162" s="181"/>
      <c r="AA162" s="126"/>
      <c r="BE162" s="178"/>
      <c r="BF162" s="178"/>
      <c r="BG162" s="178"/>
      <c r="BH162" s="178"/>
      <c r="BI162" s="178"/>
      <c r="BK162" s="178"/>
    </row>
    <row r="163" spans="1:63" s="141" customFormat="1" ht="20.100000000000001" customHeight="1" x14ac:dyDescent="0.3">
      <c r="B163" s="140"/>
      <c r="D163" s="138" t="s">
        <v>136</v>
      </c>
      <c r="E163" s="138"/>
      <c r="F163" s="138"/>
      <c r="G163" s="138"/>
      <c r="H163" s="138"/>
      <c r="I163" s="138"/>
      <c r="J163" s="138"/>
      <c r="K163" s="138"/>
      <c r="L163" s="138"/>
      <c r="M163" s="138"/>
      <c r="N163" s="297">
        <f>SUM(N164:Q167)</f>
        <v>0</v>
      </c>
      <c r="O163" s="298"/>
      <c r="P163" s="298"/>
      <c r="Q163" s="298"/>
      <c r="R163" s="142"/>
      <c r="T163" s="143"/>
      <c r="W163" s="144"/>
      <c r="Y163" s="144"/>
      <c r="AA163" s="145"/>
      <c r="AR163" s="165"/>
      <c r="AT163" s="165"/>
      <c r="AU163" s="165"/>
      <c r="AY163" s="165"/>
      <c r="BK163" s="146"/>
    </row>
    <row r="164" spans="1:63" s="163" customFormat="1" ht="60" customHeight="1" x14ac:dyDescent="0.3">
      <c r="B164" s="21"/>
      <c r="C164" s="147">
        <f>C162+1</f>
        <v>40</v>
      </c>
      <c r="D164" s="147"/>
      <c r="E164" s="189"/>
      <c r="F164" s="295" t="s">
        <v>233</v>
      </c>
      <c r="G164" s="296" t="s">
        <v>158</v>
      </c>
      <c r="H164" s="296" t="s">
        <v>158</v>
      </c>
      <c r="I164" s="296" t="s">
        <v>158</v>
      </c>
      <c r="J164" s="122" t="s">
        <v>109</v>
      </c>
      <c r="K164" s="148">
        <v>1</v>
      </c>
      <c r="L164" s="290">
        <v>0</v>
      </c>
      <c r="M164" s="291"/>
      <c r="N164" s="288">
        <f>ROUND(L164*K164,2)</f>
        <v>0</v>
      </c>
      <c r="O164" s="289"/>
      <c r="P164" s="289"/>
      <c r="Q164" s="289"/>
      <c r="R164" s="22"/>
      <c r="T164" s="133"/>
      <c r="U164" s="28"/>
      <c r="V164" s="125"/>
      <c r="W164" s="125"/>
      <c r="X164" s="125"/>
      <c r="Y164" s="125"/>
      <c r="Z164" s="125"/>
      <c r="AA164" s="126"/>
      <c r="BE164" s="88"/>
      <c r="BF164" s="88"/>
      <c r="BG164" s="88"/>
      <c r="BH164" s="88"/>
      <c r="BI164" s="88"/>
      <c r="BK164" s="88"/>
    </row>
    <row r="165" spans="1:63" s="163" customFormat="1" ht="20.100000000000001" customHeight="1" x14ac:dyDescent="0.3">
      <c r="B165" s="21"/>
      <c r="C165" s="147">
        <f>C164+1</f>
        <v>41</v>
      </c>
      <c r="D165" s="147"/>
      <c r="E165" s="189"/>
      <c r="F165" s="292" t="s">
        <v>232</v>
      </c>
      <c r="G165" s="293" t="s">
        <v>159</v>
      </c>
      <c r="H165" s="293" t="s">
        <v>159</v>
      </c>
      <c r="I165" s="294" t="s">
        <v>159</v>
      </c>
      <c r="J165" s="122" t="s">
        <v>107</v>
      </c>
      <c r="K165" s="180">
        <v>7</v>
      </c>
      <c r="L165" s="300">
        <v>0</v>
      </c>
      <c r="M165" s="301"/>
      <c r="N165" s="288">
        <f t="shared" ref="N165:N167" si="12">ROUND(L165*K165,2)</f>
        <v>0</v>
      </c>
      <c r="O165" s="289"/>
      <c r="P165" s="289"/>
      <c r="Q165" s="289"/>
      <c r="R165" s="22"/>
      <c r="T165" s="133"/>
      <c r="U165" s="28"/>
      <c r="V165" s="125"/>
      <c r="W165" s="125"/>
      <c r="X165" s="125"/>
      <c r="Y165" s="125"/>
      <c r="Z165" s="125"/>
      <c r="AA165" s="126"/>
      <c r="BE165" s="88"/>
      <c r="BF165" s="88"/>
      <c r="BG165" s="88"/>
      <c r="BH165" s="88"/>
      <c r="BI165" s="88"/>
      <c r="BK165" s="88"/>
    </row>
    <row r="166" spans="1:63" s="167" customFormat="1" ht="20.100000000000001" customHeight="1" x14ac:dyDescent="0.3">
      <c r="B166" s="21"/>
      <c r="C166" s="147">
        <f>C165+1</f>
        <v>42</v>
      </c>
      <c r="D166" s="147"/>
      <c r="E166" s="190"/>
      <c r="F166" s="292" t="s">
        <v>205</v>
      </c>
      <c r="G166" s="293" t="s">
        <v>159</v>
      </c>
      <c r="H166" s="293" t="s">
        <v>159</v>
      </c>
      <c r="I166" s="294" t="s">
        <v>159</v>
      </c>
      <c r="J166" s="150" t="s">
        <v>107</v>
      </c>
      <c r="K166" s="180">
        <v>7</v>
      </c>
      <c r="L166" s="300">
        <v>0</v>
      </c>
      <c r="M166" s="301"/>
      <c r="N166" s="288">
        <f t="shared" ref="N166" si="13">ROUND(L166*K166,2)</f>
        <v>0</v>
      </c>
      <c r="O166" s="289"/>
      <c r="P166" s="289"/>
      <c r="Q166" s="289"/>
      <c r="R166" s="22"/>
      <c r="T166" s="133"/>
      <c r="U166" s="28"/>
      <c r="V166" s="125"/>
      <c r="W166" s="125"/>
      <c r="X166" s="125"/>
      <c r="Y166" s="125"/>
      <c r="Z166" s="125"/>
      <c r="AA166" s="126"/>
      <c r="BE166" s="88"/>
      <c r="BF166" s="88"/>
      <c r="BG166" s="88"/>
      <c r="BH166" s="88"/>
      <c r="BI166" s="88"/>
      <c r="BK166" s="88"/>
    </row>
    <row r="167" spans="1:63" s="163" customFormat="1" ht="30" customHeight="1" x14ac:dyDescent="0.3">
      <c r="B167" s="21"/>
      <c r="C167" s="147">
        <f>C166+1</f>
        <v>43</v>
      </c>
      <c r="D167" s="147"/>
      <c r="E167" s="190"/>
      <c r="F167" s="292" t="s">
        <v>192</v>
      </c>
      <c r="G167" s="293" t="s">
        <v>138</v>
      </c>
      <c r="H167" s="293" t="s">
        <v>138</v>
      </c>
      <c r="I167" s="294" t="s">
        <v>138</v>
      </c>
      <c r="J167" s="150" t="s">
        <v>107</v>
      </c>
      <c r="K167" s="148">
        <v>75</v>
      </c>
      <c r="L167" s="300">
        <v>0</v>
      </c>
      <c r="M167" s="301"/>
      <c r="N167" s="288">
        <f t="shared" si="12"/>
        <v>0</v>
      </c>
      <c r="O167" s="289"/>
      <c r="P167" s="289"/>
      <c r="Q167" s="289"/>
      <c r="R167" s="22"/>
      <c r="T167" s="133"/>
      <c r="U167" s="28"/>
      <c r="V167" s="125"/>
      <c r="W167" s="125"/>
      <c r="X167" s="125"/>
      <c r="Y167" s="125"/>
      <c r="Z167" s="125"/>
      <c r="AA167" s="126"/>
      <c r="BE167" s="88"/>
      <c r="BF167" s="88"/>
      <c r="BG167" s="88"/>
      <c r="BH167" s="88"/>
      <c r="BI167" s="88"/>
      <c r="BK167" s="88"/>
    </row>
    <row r="168" spans="1:63" ht="7.5" customHeight="1" x14ac:dyDescent="0.3">
      <c r="A168" s="209"/>
      <c r="B168" s="22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136"/>
    </row>
  </sheetData>
  <sheetProtection algorithmName="SHA-512" hashValue="21GVRVWrVzkcb+bppPUI9zQxJchMTRnIMI/tQe+yC6vlao0oS4DMOe9+qwBltfpsxl8ElTwx4vfUdznO1XDhpw==" saltValue="R9cWAjhsTEZ0m0+IsYaA+A==" spinCount="100000" sheet="1" selectLockedCells="1"/>
  <mergeCells count="199">
    <mergeCell ref="F162:I162"/>
    <mergeCell ref="L162:M162"/>
    <mergeCell ref="N162:Q162"/>
    <mergeCell ref="L113:M113"/>
    <mergeCell ref="N114:Q114"/>
    <mergeCell ref="N111:Q111"/>
    <mergeCell ref="L117:M117"/>
    <mergeCell ref="L141:M141"/>
    <mergeCell ref="L151:M151"/>
    <mergeCell ref="L154:M154"/>
    <mergeCell ref="F148:I148"/>
    <mergeCell ref="N148:Q148"/>
    <mergeCell ref="F149:I149"/>
    <mergeCell ref="L149:M149"/>
    <mergeCell ref="N149:Q149"/>
    <mergeCell ref="L148:M148"/>
    <mergeCell ref="N146:Q146"/>
    <mergeCell ref="N147:Q147"/>
    <mergeCell ref="F119:I119"/>
    <mergeCell ref="L119:M119"/>
    <mergeCell ref="N119:Q119"/>
    <mergeCell ref="F120:I120"/>
    <mergeCell ref="N120:Q120"/>
    <mergeCell ref="F121:I121"/>
    <mergeCell ref="L121:M121"/>
    <mergeCell ref="N121:Q121"/>
    <mergeCell ref="L120:M120"/>
    <mergeCell ref="N122:Q122"/>
    <mergeCell ref="H1:K1"/>
    <mergeCell ref="C2:Q2"/>
    <mergeCell ref="S2:AC2"/>
    <mergeCell ref="C4:Q4"/>
    <mergeCell ref="F6:P6"/>
    <mergeCell ref="F7:P7"/>
    <mergeCell ref="F117:I117"/>
    <mergeCell ref="N117:Q117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L35:P35"/>
    <mergeCell ref="C75:Q75"/>
    <mergeCell ref="F77:P77"/>
    <mergeCell ref="F78:P78"/>
    <mergeCell ref="F79:P79"/>
    <mergeCell ref="M81:P81"/>
    <mergeCell ref="O13:P13"/>
    <mergeCell ref="O15:P15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M107:Q107"/>
    <mergeCell ref="F109:I109"/>
    <mergeCell ref="L109:M109"/>
    <mergeCell ref="N109:Q109"/>
    <mergeCell ref="N110:Q110"/>
    <mergeCell ref="M83:Q83"/>
    <mergeCell ref="M84:Q84"/>
    <mergeCell ref="C86:G86"/>
    <mergeCell ref="N86:Q86"/>
    <mergeCell ref="N87:Q87"/>
    <mergeCell ref="N88:Q88"/>
    <mergeCell ref="N89:Q89"/>
    <mergeCell ref="N90:Q90"/>
    <mergeCell ref="L92:Q92"/>
    <mergeCell ref="C98:Q98"/>
    <mergeCell ref="F100:P100"/>
    <mergeCell ref="F101:P101"/>
    <mergeCell ref="F102:P102"/>
    <mergeCell ref="M104:P104"/>
    <mergeCell ref="M106:Q106"/>
    <mergeCell ref="F115:I115"/>
    <mergeCell ref="N115:Q115"/>
    <mergeCell ref="F116:I116"/>
    <mergeCell ref="N116:Q116"/>
    <mergeCell ref="L115:M115"/>
    <mergeCell ref="L116:M116"/>
    <mergeCell ref="N112:Q112"/>
    <mergeCell ref="F113:I113"/>
    <mergeCell ref="N113:Q113"/>
    <mergeCell ref="F114:I114"/>
    <mergeCell ref="L114:M114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N126:Q126"/>
    <mergeCell ref="L126:M126"/>
    <mergeCell ref="F127:I127"/>
    <mergeCell ref="N127:Q127"/>
    <mergeCell ref="N131:Q131"/>
    <mergeCell ref="F132:I132"/>
    <mergeCell ref="L132:M132"/>
    <mergeCell ref="N132:Q132"/>
    <mergeCell ref="F133:I133"/>
    <mergeCell ref="L133:M133"/>
    <mergeCell ref="N133:Q133"/>
    <mergeCell ref="L127:M127"/>
    <mergeCell ref="N128:Q128"/>
    <mergeCell ref="F129:I129"/>
    <mergeCell ref="L129:M129"/>
    <mergeCell ref="N129:Q129"/>
    <mergeCell ref="F130:I130"/>
    <mergeCell ref="L130:M130"/>
    <mergeCell ref="N130:Q130"/>
    <mergeCell ref="F134:I134"/>
    <mergeCell ref="L134:M134"/>
    <mergeCell ref="N134:Q134"/>
    <mergeCell ref="N135:Q135"/>
    <mergeCell ref="F136:I136"/>
    <mergeCell ref="L136:M136"/>
    <mergeCell ref="N136:Q136"/>
    <mergeCell ref="N137:Q137"/>
    <mergeCell ref="F138:I138"/>
    <mergeCell ref="N138:Q138"/>
    <mergeCell ref="L138:M138"/>
    <mergeCell ref="N154:Q154"/>
    <mergeCell ref="L155:M155"/>
    <mergeCell ref="F145:I145"/>
    <mergeCell ref="F139:I139"/>
    <mergeCell ref="N139:Q139"/>
    <mergeCell ref="F140:I140"/>
    <mergeCell ref="N140:Q140"/>
    <mergeCell ref="F142:I142"/>
    <mergeCell ref="L142:M142"/>
    <mergeCell ref="N142:Q142"/>
    <mergeCell ref="F141:I141"/>
    <mergeCell ref="N141:Q141"/>
    <mergeCell ref="L139:M139"/>
    <mergeCell ref="L140:M140"/>
    <mergeCell ref="L145:M145"/>
    <mergeCell ref="N145:Q145"/>
    <mergeCell ref="L159:M159"/>
    <mergeCell ref="N159:Q159"/>
    <mergeCell ref="N158:Q158"/>
    <mergeCell ref="N143:Q143"/>
    <mergeCell ref="F156:I156"/>
    <mergeCell ref="N156:Q156"/>
    <mergeCell ref="L156:M156"/>
    <mergeCell ref="F150:I150"/>
    <mergeCell ref="N150:Q150"/>
    <mergeCell ref="F151:I151"/>
    <mergeCell ref="N151:Q151"/>
    <mergeCell ref="F152:I152"/>
    <mergeCell ref="N152:Q152"/>
    <mergeCell ref="L150:M150"/>
    <mergeCell ref="L152:M152"/>
    <mergeCell ref="F144:I144"/>
    <mergeCell ref="L144:M144"/>
    <mergeCell ref="N144:Q144"/>
    <mergeCell ref="F153:I153"/>
    <mergeCell ref="L153:M153"/>
    <mergeCell ref="N153:Q153"/>
    <mergeCell ref="F155:I155"/>
    <mergeCell ref="N155:Q155"/>
    <mergeCell ref="F154:I154"/>
    <mergeCell ref="F118:I118"/>
    <mergeCell ref="L118:M118"/>
    <mergeCell ref="N118:Q118"/>
    <mergeCell ref="N163:Q163"/>
    <mergeCell ref="F164:I164"/>
    <mergeCell ref="N164:Q164"/>
    <mergeCell ref="F165:I165"/>
    <mergeCell ref="N165:Q165"/>
    <mergeCell ref="F167:I167"/>
    <mergeCell ref="N167:Q167"/>
    <mergeCell ref="F166:I166"/>
    <mergeCell ref="N166:Q166"/>
    <mergeCell ref="L164:M164"/>
    <mergeCell ref="L165:M165"/>
    <mergeCell ref="L166:M166"/>
    <mergeCell ref="L167:M167"/>
    <mergeCell ref="N160:Q160"/>
    <mergeCell ref="F161:I161"/>
    <mergeCell ref="N161:Q161"/>
    <mergeCell ref="L161:M161"/>
    <mergeCell ref="F157:I157"/>
    <mergeCell ref="N157:Q157"/>
    <mergeCell ref="L157:M157"/>
    <mergeCell ref="F159:I159"/>
  </mergeCells>
  <hyperlinks>
    <hyperlink ref="F1:G1" location="C2" tooltip="Krycí list rozpočtu" display="1) Krycí list rozpočtu" xr:uid="{00000000-0004-0000-0200-000000000000}"/>
    <hyperlink ref="H1:K1" location="'SO02'!C93" tooltip="Rekapitulace rozpočtu" display="2) Rekapitulace rozpočtu" xr:uid="{00000000-0004-0000-0200-000001000000}"/>
    <hyperlink ref="L1" location="'SO02'!C115" tooltip="Rozpočet" display="3) Rozpočet" xr:uid="{00000000-0004-0000-0200-000002000000}"/>
    <hyperlink ref="S1:T1" location="'Rekapitulace stavby'!C2" tooltip="Rekapitulace stavby" display="Rekapitulace stavby" xr:uid="{00000000-0004-0000-0200-000003000000}"/>
    <hyperlink ref="F1" location="'SO02'!C4" tooltip="Krycí list rozpočtu" display="1) Krycí list rozpočtu" xr:uid="{9D28D1E4-B1DD-4017-A75B-351AB8C5CDF8}"/>
    <hyperlink ref="S1" location="Rekapitulace!C4" tooltip="Rekapitulace stavby" display="Rekapitulace stavby" xr:uid="{47082187-1F24-4AA6-B893-DA42E518B0E5}"/>
  </hyperlinks>
  <pageMargins left="0.59055118110236227" right="0.59055118110236227" top="0.59055118110236227" bottom="0.59055118110236227" header="0" footer="0"/>
  <pageSetup paperSize="9" scale="92" fitToWidth="2" fitToHeight="9" orientation="portrait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K140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E16" sqref="E16:L16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2" width="10.5" style="155" customWidth="1"/>
    <col min="43" max="43" width="15.83203125" style="155" customWidth="1"/>
    <col min="44" max="53" width="10.5" style="155" customWidth="1"/>
    <col min="54" max="54" width="6.5" style="155" customWidth="1"/>
    <col min="55" max="55" width="11.33203125" style="155" customWidth="1"/>
    <col min="56" max="56" width="5.83203125" style="155" customWidth="1"/>
    <col min="57" max="57" width="8" style="155" customWidth="1"/>
    <col min="58" max="58" width="9.1640625" style="155" customWidth="1"/>
    <col min="59" max="59" width="10.33203125" style="155" customWidth="1"/>
    <col min="60" max="60" width="9.6640625" style="155" customWidth="1"/>
    <col min="61" max="61" width="12.5" style="155" customWidth="1"/>
    <col min="62" max="62" width="11.6640625" style="155" customWidth="1"/>
    <col min="63" max="63" width="16.6640625" style="155" customWidth="1"/>
    <col min="64" max="64" width="6.6640625" style="155" customWidth="1"/>
    <col min="65" max="74" width="10.5" style="155" customWidth="1"/>
    <col min="75" max="16384" width="10.5" style="155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12" t="s">
        <v>117</v>
      </c>
      <c r="I1" s="312"/>
      <c r="J1" s="312"/>
      <c r="K1" s="312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1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S2" s="256" t="s">
        <v>3</v>
      </c>
      <c r="T2" s="248"/>
      <c r="U2" s="248"/>
      <c r="V2" s="248"/>
      <c r="W2" s="248"/>
      <c r="X2" s="248"/>
      <c r="Y2" s="248"/>
      <c r="Z2" s="248"/>
      <c r="AA2" s="248"/>
      <c r="AB2" s="248"/>
      <c r="AC2" s="248"/>
      <c r="AT2" s="155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55" t="s">
        <v>70</v>
      </c>
    </row>
    <row r="4" spans="2:46" ht="37.5" customHeight="1" x14ac:dyDescent="0.3">
      <c r="B4" s="11"/>
      <c r="C4" s="249" t="s">
        <v>81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12"/>
      <c r="T4" s="13" t="s">
        <v>8</v>
      </c>
      <c r="AT4" s="155" t="s">
        <v>2</v>
      </c>
    </row>
    <row r="5" spans="2:46" ht="7.5" customHeight="1" x14ac:dyDescent="0.3">
      <c r="B5" s="11"/>
      <c r="R5" s="12"/>
    </row>
    <row r="6" spans="2:46" ht="24.95" customHeight="1" x14ac:dyDescent="0.3">
      <c r="B6" s="11"/>
      <c r="D6" s="18" t="s">
        <v>12</v>
      </c>
      <c r="F6" s="306" t="str">
        <f>Rekapitulace!$K$6</f>
        <v>Instalace FVE s akumulací pro vlastní spotřebu elektřiny ve společnosti ČEPRO, a.s. v areálu Mstětice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R6" s="12"/>
    </row>
    <row r="7" spans="2:46" ht="24.95" customHeight="1" x14ac:dyDescent="0.3">
      <c r="B7" s="11"/>
      <c r="D7" s="18" t="s">
        <v>82</v>
      </c>
      <c r="F7" s="306" t="str">
        <f>Rekapitulace!J90</f>
        <v>SO 03 - Instalace systému akumulace elektřiny o jmenovité kapacitě 107,52 kWh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R7" s="12"/>
    </row>
    <row r="8" spans="2:46" s="154" customFormat="1" ht="33.75" customHeight="1" x14ac:dyDescent="0.3">
      <c r="B8" s="21"/>
      <c r="D8" s="17" t="s">
        <v>83</v>
      </c>
      <c r="F8" s="264" t="str">
        <f>Rekapitulace!J90</f>
        <v>SO 03 - Instalace systému akumulace elektřiny o jmenovité kapacitě 107,52 kWh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R8" s="22"/>
    </row>
    <row r="9" spans="2:46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46" s="154" customFormat="1" ht="15" customHeight="1" x14ac:dyDescent="0.3">
      <c r="B10" s="21"/>
      <c r="D10" s="18" t="s">
        <v>15</v>
      </c>
      <c r="F10" s="253" t="str">
        <f>Rekapitulace!L80</f>
        <v>Areál skladu ČEPRO, a.s.; Mstětice 3, 250 91 Zeleneč</v>
      </c>
      <c r="G10" s="253"/>
      <c r="H10" s="253"/>
      <c r="I10" s="253"/>
      <c r="J10" s="253"/>
      <c r="K10" s="253"/>
      <c r="L10" s="253"/>
      <c r="M10" s="18" t="s">
        <v>16</v>
      </c>
      <c r="O10" s="322">
        <f>Rekapitulace!$AN$8</f>
        <v>44105</v>
      </c>
      <c r="P10" s="322"/>
      <c r="R10" s="22"/>
    </row>
    <row r="11" spans="2:46" s="154" customFormat="1" ht="12" customHeight="1" x14ac:dyDescent="0.3">
      <c r="B11" s="21"/>
      <c r="R11" s="22"/>
    </row>
    <row r="12" spans="2:46" s="154" customFormat="1" ht="15" customHeight="1" x14ac:dyDescent="0.3">
      <c r="B12" s="21"/>
      <c r="D12" s="18" t="s">
        <v>17</v>
      </c>
      <c r="M12" s="18" t="s">
        <v>18</v>
      </c>
      <c r="O12" s="253">
        <f>IF(Rekapitulace!$AN$10="","",Rekapitulace!$AN$10)</f>
        <v>60193531</v>
      </c>
      <c r="P12" s="254"/>
      <c r="R12" s="22"/>
    </row>
    <row r="13" spans="2:46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53" t="str">
        <f>IF(Rekapitulace!$AN$11="","",Rekapitulace!$AN$11)</f>
        <v>CZ60193531</v>
      </c>
      <c r="P13" s="254"/>
      <c r="R13" s="22"/>
    </row>
    <row r="14" spans="2:46" s="154" customFormat="1" ht="7.5" customHeight="1" x14ac:dyDescent="0.3">
      <c r="B14" s="21"/>
      <c r="R14" s="22"/>
    </row>
    <row r="15" spans="2:46" s="154" customFormat="1" ht="15" customHeight="1" x14ac:dyDescent="0.3">
      <c r="B15" s="21"/>
      <c r="D15" s="18" t="s">
        <v>20</v>
      </c>
      <c r="M15" s="18" t="s">
        <v>18</v>
      </c>
      <c r="O15" s="316" t="str">
        <f>IF(Rekapitulace!$AN$13="","",Rekapitulace!$AN$13)</f>
        <v>Vyplň údaj</v>
      </c>
      <c r="P15" s="285"/>
      <c r="R15" s="22"/>
    </row>
    <row r="16" spans="2:46" s="154" customFormat="1" ht="18.75" customHeight="1" x14ac:dyDescent="0.3">
      <c r="B16" s="21"/>
      <c r="E16" s="316" t="str">
        <f>IF(Rekapitulace!$E$14="","",Rekapitulace!$E$14)</f>
        <v>Vyplň údaj</v>
      </c>
      <c r="F16" s="285"/>
      <c r="G16" s="285"/>
      <c r="H16" s="285"/>
      <c r="I16" s="285"/>
      <c r="J16" s="285"/>
      <c r="K16" s="285"/>
      <c r="L16" s="285"/>
      <c r="M16" s="18" t="s">
        <v>19</v>
      </c>
      <c r="O16" s="316" t="str">
        <f>IF(Rekapitulace!$AN$14="","",Rekapitulace!$AN$14)</f>
        <v>Vyplň údaj</v>
      </c>
      <c r="P16" s="285"/>
      <c r="R16" s="22"/>
    </row>
    <row r="17" spans="2:18" s="154" customFormat="1" ht="7.5" customHeight="1" x14ac:dyDescent="0.3">
      <c r="B17" s="21"/>
      <c r="R17" s="22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53" t="str">
        <f>IF(Rekapitulace!$AN$16="","",Rekapitulace!$AN$16)</f>
        <v>04083351</v>
      </c>
      <c r="P18" s="254"/>
      <c r="R18" s="22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53" t="str">
        <f>IF(Rekapitulace!$AN$17="","",Rekapitulace!$AN$17)</f>
        <v>CZ04083351</v>
      </c>
      <c r="P19" s="254"/>
      <c r="R19" s="22"/>
    </row>
    <row r="20" spans="2:18" s="154" customFormat="1" ht="7.5" customHeight="1" x14ac:dyDescent="0.3">
      <c r="B20" s="21"/>
      <c r="R20" s="22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53" t="str">
        <f>IF(Rekapitulace!$AN$19="","",Rekapitulace!$AN$19)</f>
        <v>04083351</v>
      </c>
      <c r="P21" s="254"/>
      <c r="R21" s="22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53" t="str">
        <f>IF(Rekapitulace!$AN$20="","",Rekapitulace!$AN$20)</f>
        <v>CZ04083351</v>
      </c>
      <c r="P22" s="254"/>
      <c r="R22" s="22"/>
    </row>
    <row r="23" spans="2:18" s="154" customFormat="1" ht="7.5" customHeight="1" x14ac:dyDescent="0.3">
      <c r="B23" s="21"/>
      <c r="R23" s="22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154" customFormat="1" ht="15" customHeight="1" x14ac:dyDescent="0.3">
      <c r="B25" s="21"/>
      <c r="D25" s="76" t="s">
        <v>84</v>
      </c>
      <c r="M25" s="252">
        <f>$N$88</f>
        <v>0</v>
      </c>
      <c r="N25" s="254"/>
      <c r="O25" s="254"/>
      <c r="P25" s="254"/>
      <c r="R25" s="22"/>
    </row>
    <row r="26" spans="2:18" s="154" customFormat="1" ht="7.5" customHeight="1" x14ac:dyDescent="0.3">
      <c r="B26" s="21"/>
      <c r="R26" s="22"/>
    </row>
    <row r="27" spans="2:18" s="154" customFormat="1" ht="26.25" customHeight="1" x14ac:dyDescent="0.3">
      <c r="B27" s="21"/>
      <c r="D27" s="96" t="s">
        <v>26</v>
      </c>
      <c r="M27" s="320">
        <f>ROUND($M$25,2)</f>
        <v>0</v>
      </c>
      <c r="N27" s="254"/>
      <c r="O27" s="254"/>
      <c r="P27" s="254"/>
      <c r="R27" s="22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05">
        <f>M27</f>
        <v>0</v>
      </c>
      <c r="I29" s="254"/>
      <c r="J29" s="254"/>
      <c r="M29" s="305">
        <f>(H29)*$F$29</f>
        <v>0</v>
      </c>
      <c r="N29" s="254"/>
      <c r="O29" s="254"/>
      <c r="P29" s="254"/>
      <c r="R29" s="22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05">
        <v>0</v>
      </c>
      <c r="I30" s="254"/>
      <c r="J30" s="254"/>
      <c r="M30" s="305">
        <v>0</v>
      </c>
      <c r="N30" s="254"/>
      <c r="O30" s="254"/>
      <c r="P30" s="254"/>
      <c r="R30" s="22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05">
        <f>(SUM($BG$92:$BG$92)+SUM($BG$111:$BG$139))</f>
        <v>0</v>
      </c>
      <c r="I31" s="254"/>
      <c r="J31" s="254"/>
      <c r="M31" s="305">
        <v>0</v>
      </c>
      <c r="N31" s="254"/>
      <c r="O31" s="254"/>
      <c r="P31" s="254"/>
      <c r="R31" s="22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05">
        <f>(SUM($BH$92:$BH$92)+SUM($BH$111:$BH$139))</f>
        <v>0</v>
      </c>
      <c r="I32" s="254"/>
      <c r="J32" s="254"/>
      <c r="M32" s="305">
        <v>0</v>
      </c>
      <c r="N32" s="254"/>
      <c r="O32" s="254"/>
      <c r="P32" s="254"/>
      <c r="R32" s="22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05">
        <f>(SUM($BI$92:$BI$92)+SUM($BI$111:$BI$139))</f>
        <v>0</v>
      </c>
      <c r="I33" s="254"/>
      <c r="J33" s="254"/>
      <c r="M33" s="305">
        <v>0</v>
      </c>
      <c r="N33" s="254"/>
      <c r="O33" s="254"/>
      <c r="P33" s="254"/>
      <c r="R33" s="22"/>
    </row>
    <row r="34" spans="2:18" s="154" customFormat="1" ht="7.5" customHeight="1" x14ac:dyDescent="0.3">
      <c r="B34" s="21"/>
      <c r="R34" s="22"/>
    </row>
    <row r="35" spans="2:18" s="154" customFormat="1" ht="26.25" customHeight="1" x14ac:dyDescent="0.3">
      <c r="B35" s="21"/>
      <c r="C35" s="233"/>
      <c r="D35" s="227" t="s">
        <v>34</v>
      </c>
      <c r="E35" s="233"/>
      <c r="F35" s="233"/>
      <c r="G35" s="225" t="s">
        <v>35</v>
      </c>
      <c r="H35" s="226" t="s">
        <v>36</v>
      </c>
      <c r="I35" s="233"/>
      <c r="J35" s="233"/>
      <c r="K35" s="233"/>
      <c r="L35" s="307">
        <f>ROUND(SUM($M$27:$M$33),2)</f>
        <v>0</v>
      </c>
      <c r="M35" s="308"/>
      <c r="N35" s="308"/>
      <c r="O35" s="308"/>
      <c r="P35" s="308"/>
      <c r="Q35" s="160"/>
      <c r="R35" s="22"/>
    </row>
    <row r="36" spans="2:18" s="154" customFormat="1" ht="15" customHeight="1" x14ac:dyDescent="0.3">
      <c r="B36" s="21"/>
      <c r="R36" s="22"/>
    </row>
    <row r="37" spans="2:18" s="154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154" customFormat="1" ht="37.5" customHeight="1" x14ac:dyDescent="0.3">
      <c r="B75" s="21"/>
      <c r="C75" s="249" t="s">
        <v>85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2"/>
    </row>
    <row r="76" spans="2:18" s="154" customFormat="1" ht="7.5" customHeight="1" x14ac:dyDescent="0.3">
      <c r="B76" s="21"/>
      <c r="R76" s="22"/>
    </row>
    <row r="77" spans="2:18" s="154" customFormat="1" ht="24.95" customHeight="1" x14ac:dyDescent="0.3">
      <c r="B77" s="21"/>
      <c r="C77" s="18" t="s">
        <v>12</v>
      </c>
      <c r="F77" s="306" t="str">
        <f>$F$6</f>
        <v>Instalace FVE s akumulací pro vlastní spotřebu elektřiny ve společnosti ČEPRO, a.s. v areálu Mstětice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R77" s="22"/>
    </row>
    <row r="78" spans="2:18" ht="24.95" customHeight="1" x14ac:dyDescent="0.3">
      <c r="B78" s="11"/>
      <c r="C78" s="18" t="s">
        <v>82</v>
      </c>
      <c r="F78" s="306" t="str">
        <f>F7</f>
        <v>SO 03 - Instalace systému akumulace elektřiny o jmenovité kapacitě 107,52 kWh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R78" s="12"/>
    </row>
    <row r="79" spans="2:18" s="154" customFormat="1" ht="37.5" customHeight="1" x14ac:dyDescent="0.3">
      <c r="B79" s="21"/>
      <c r="C79" s="51" t="s">
        <v>83</v>
      </c>
      <c r="F79" s="269" t="str">
        <f>F8</f>
        <v>SO 03 - Instalace systému akumulace elektřiny o jmenovité kapacitě 107,52 kWh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R79" s="22"/>
    </row>
    <row r="80" spans="2:18" s="154" customFormat="1" ht="7.5" customHeight="1" x14ac:dyDescent="0.3">
      <c r="B80" s="21"/>
      <c r="R80" s="22"/>
    </row>
    <row r="81" spans="2:18" s="154" customFormat="1" ht="18.75" customHeight="1" x14ac:dyDescent="0.3">
      <c r="B81" s="21"/>
      <c r="C81" s="18" t="s">
        <v>15</v>
      </c>
      <c r="F81" s="156" t="str">
        <f>$F$10</f>
        <v>Areál skladu ČEPRO, a.s.; Mstětice 3, 250 91 Zeleneč</v>
      </c>
      <c r="L81" s="18" t="s">
        <v>16</v>
      </c>
      <c r="M81" s="270">
        <f>IF($O$10="","",$O$10)</f>
        <v>44105</v>
      </c>
      <c r="N81" s="254"/>
      <c r="O81" s="254"/>
      <c r="P81" s="254"/>
      <c r="R81" s="22"/>
    </row>
    <row r="82" spans="2:18" s="154" customFormat="1" ht="7.5" customHeight="1" x14ac:dyDescent="0.3">
      <c r="B82" s="21"/>
      <c r="R82" s="22"/>
    </row>
    <row r="83" spans="2:18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53" t="str">
        <f>$E$19</f>
        <v>YOUNG4ENERGY s.r.o.</v>
      </c>
      <c r="N83" s="254"/>
      <c r="O83" s="254"/>
      <c r="P83" s="254"/>
      <c r="Q83" s="254"/>
      <c r="R83" s="22"/>
    </row>
    <row r="84" spans="2:18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53" t="str">
        <f>$E$22</f>
        <v>YOUNG4ENERGY s.r.o.</v>
      </c>
      <c r="N84" s="254"/>
      <c r="O84" s="254"/>
      <c r="P84" s="254"/>
      <c r="Q84" s="254"/>
      <c r="R84" s="22"/>
    </row>
    <row r="85" spans="2:18" s="154" customFormat="1" ht="11.25" customHeight="1" x14ac:dyDescent="0.3">
      <c r="B85" s="21"/>
      <c r="R85" s="22"/>
    </row>
    <row r="86" spans="2:18" s="154" customFormat="1" ht="30" customHeight="1" x14ac:dyDescent="0.3">
      <c r="B86" s="21"/>
      <c r="C86" s="315" t="s">
        <v>86</v>
      </c>
      <c r="D86" s="287"/>
      <c r="E86" s="287"/>
      <c r="F86" s="287"/>
      <c r="G86" s="287"/>
      <c r="H86" s="160"/>
      <c r="I86" s="160"/>
      <c r="J86" s="160"/>
      <c r="K86" s="160"/>
      <c r="L86" s="160"/>
      <c r="M86" s="160"/>
      <c r="N86" s="315" t="s">
        <v>87</v>
      </c>
      <c r="O86" s="254"/>
      <c r="P86" s="254"/>
      <c r="Q86" s="254"/>
      <c r="R86" s="22"/>
    </row>
    <row r="87" spans="2:18" s="154" customFormat="1" ht="11.25" customHeight="1" x14ac:dyDescent="0.3">
      <c r="B87" s="21"/>
      <c r="R87" s="22"/>
    </row>
    <row r="88" spans="2:18" s="154" customFormat="1" ht="30" customHeight="1" x14ac:dyDescent="0.3">
      <c r="B88" s="21"/>
      <c r="C88" s="159" t="s">
        <v>88</v>
      </c>
      <c r="N88" s="276">
        <f>ROUND($N$111,2)</f>
        <v>0</v>
      </c>
      <c r="O88" s="254"/>
      <c r="P88" s="254"/>
      <c r="Q88" s="254"/>
      <c r="R88" s="22"/>
    </row>
    <row r="89" spans="2:18" s="64" customFormat="1" ht="20.100000000000001" customHeight="1" x14ac:dyDescent="0.35">
      <c r="B89" s="99"/>
      <c r="D89" s="113" t="str">
        <f>D112</f>
        <v>Instalace bateriového systému</v>
      </c>
      <c r="N89" s="310">
        <f>ROUND($N$112,2)</f>
        <v>0</v>
      </c>
      <c r="O89" s="311"/>
      <c r="P89" s="311"/>
      <c r="Q89" s="311"/>
      <c r="R89" s="100"/>
    </row>
    <row r="90" spans="2:18" s="76" customFormat="1" ht="20.100000000000001" customHeight="1" x14ac:dyDescent="0.35">
      <c r="B90" s="101"/>
      <c r="D90" s="113" t="s">
        <v>127</v>
      </c>
      <c r="E90" s="64"/>
      <c r="F90" s="64"/>
      <c r="G90" s="64"/>
      <c r="H90" s="64"/>
      <c r="I90" s="64"/>
      <c r="J90" s="64"/>
      <c r="K90" s="64"/>
      <c r="L90" s="64"/>
      <c r="M90" s="64"/>
      <c r="N90" s="310">
        <f>ROUND($N$115,2)</f>
        <v>0</v>
      </c>
      <c r="O90" s="311"/>
      <c r="P90" s="311"/>
      <c r="Q90" s="311"/>
      <c r="R90" s="102"/>
    </row>
    <row r="91" spans="2:18" s="76" customFormat="1" ht="20.100000000000001" customHeight="1" x14ac:dyDescent="0.35">
      <c r="B91" s="101"/>
      <c r="D91" s="113" t="str">
        <f>D126</f>
        <v>Ostatní materiál</v>
      </c>
      <c r="E91" s="64"/>
      <c r="F91" s="64"/>
      <c r="G91" s="64"/>
      <c r="H91" s="64"/>
      <c r="I91" s="64"/>
      <c r="J91" s="64"/>
      <c r="K91" s="64"/>
      <c r="L91" s="64"/>
      <c r="M91" s="64"/>
      <c r="N91" s="310">
        <f>ROUND($N$126,2)</f>
        <v>0</v>
      </c>
      <c r="O91" s="311"/>
      <c r="P91" s="311"/>
      <c r="Q91" s="311"/>
      <c r="R91" s="102"/>
    </row>
    <row r="92" spans="2:18" s="154" customFormat="1" ht="12" customHeight="1" x14ac:dyDescent="0.3">
      <c r="B92" s="21"/>
      <c r="R92" s="22"/>
    </row>
    <row r="93" spans="2:18" s="154" customFormat="1" ht="30" customHeight="1" x14ac:dyDescent="0.3">
      <c r="B93" s="21"/>
      <c r="C93" s="94" t="s">
        <v>141</v>
      </c>
      <c r="D93" s="160"/>
      <c r="E93" s="160"/>
      <c r="F93" s="160"/>
      <c r="G93" s="160"/>
      <c r="H93" s="160"/>
      <c r="I93" s="160"/>
      <c r="J93" s="160"/>
      <c r="K93" s="160"/>
      <c r="L93" s="286">
        <f>ROUND(SUM($N$89:$Q$91),2)</f>
        <v>0</v>
      </c>
      <c r="M93" s="287"/>
      <c r="N93" s="287"/>
      <c r="O93" s="287"/>
      <c r="P93" s="287"/>
      <c r="Q93" s="287"/>
      <c r="R93" s="22"/>
    </row>
    <row r="94" spans="2:18" s="154" customFormat="1" ht="7.5" customHeight="1" x14ac:dyDescent="0.3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5"/>
    </row>
    <row r="98" spans="2:63" s="154" customFormat="1" ht="7.5" customHeight="1" x14ac:dyDescent="0.3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2"/>
    </row>
    <row r="99" spans="2:63" s="154" customFormat="1" ht="37.5" customHeight="1" x14ac:dyDescent="0.3">
      <c r="B99" s="203"/>
      <c r="C99" s="338" t="s">
        <v>90</v>
      </c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204"/>
    </row>
    <row r="100" spans="2:63" s="154" customFormat="1" ht="7.5" customHeight="1" x14ac:dyDescent="0.3">
      <c r="B100" s="203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4"/>
    </row>
    <row r="101" spans="2:63" s="154" customFormat="1" ht="24.95" customHeight="1" x14ac:dyDescent="0.3">
      <c r="B101" s="203"/>
      <c r="C101" s="206" t="s">
        <v>12</v>
      </c>
      <c r="D101" s="205"/>
      <c r="E101" s="205"/>
      <c r="F101" s="339" t="str">
        <f>$F$6</f>
        <v>Instalace FVE s akumulací pro vlastní spotřebu elektřiny ve společnosti ČEPRO, a.s. v areálu Mstětice</v>
      </c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205"/>
      <c r="R101" s="204"/>
    </row>
    <row r="102" spans="2:63" ht="24.95" customHeight="1" x14ac:dyDescent="0.3">
      <c r="B102" s="207"/>
      <c r="C102" s="206" t="s">
        <v>82</v>
      </c>
      <c r="D102" s="208"/>
      <c r="E102" s="208"/>
      <c r="F102" s="339" t="str">
        <f>F7</f>
        <v>SO 03 - Instalace systému akumulace elektřiny o jmenovité kapacitě 107,52 kWh</v>
      </c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208"/>
      <c r="R102" s="209"/>
    </row>
    <row r="103" spans="2:63" s="154" customFormat="1" ht="37.5" customHeight="1" x14ac:dyDescent="0.3">
      <c r="B103" s="203"/>
      <c r="C103" s="210" t="s">
        <v>83</v>
      </c>
      <c r="D103" s="205"/>
      <c r="E103" s="205"/>
      <c r="F103" s="334" t="str">
        <f>F8</f>
        <v>SO 03 - Instalace systému akumulace elektřiny o jmenovité kapacitě 107,52 kWh</v>
      </c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205"/>
      <c r="R103" s="204"/>
    </row>
    <row r="104" spans="2:63" s="154" customFormat="1" ht="7.5" customHeight="1" x14ac:dyDescent="0.3">
      <c r="B104" s="203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4"/>
    </row>
    <row r="105" spans="2:63" s="154" customFormat="1" ht="18.75" customHeight="1" x14ac:dyDescent="0.3">
      <c r="B105" s="203"/>
      <c r="C105" s="206" t="s">
        <v>15</v>
      </c>
      <c r="D105" s="205"/>
      <c r="E105" s="205"/>
      <c r="F105" s="211" t="str">
        <f>$F$10</f>
        <v>Areál skladu ČEPRO, a.s.; Mstětice 3, 250 91 Zeleneč</v>
      </c>
      <c r="G105" s="205"/>
      <c r="H105" s="205"/>
      <c r="I105" s="205"/>
      <c r="J105" s="205"/>
      <c r="K105" s="205"/>
      <c r="L105" s="206" t="s">
        <v>16</v>
      </c>
      <c r="M105" s="336">
        <f>IF($O$10="","",$O$10)</f>
        <v>44105</v>
      </c>
      <c r="N105" s="335"/>
      <c r="O105" s="335"/>
      <c r="P105" s="335"/>
      <c r="Q105" s="205"/>
      <c r="R105" s="204"/>
    </row>
    <row r="106" spans="2:63" s="154" customFormat="1" ht="7.5" customHeight="1" x14ac:dyDescent="0.3">
      <c r="B106" s="203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4"/>
    </row>
    <row r="107" spans="2:63" s="154" customFormat="1" ht="15.75" customHeight="1" x14ac:dyDescent="0.3">
      <c r="B107" s="203"/>
      <c r="C107" s="206" t="s">
        <v>17</v>
      </c>
      <c r="D107" s="205"/>
      <c r="E107" s="205"/>
      <c r="F107" s="211" t="str">
        <f>$E$13</f>
        <v>ČEPRO, a.s., Dělnická 213/12, Holešovice, 170 00 Praha 7</v>
      </c>
      <c r="G107" s="205"/>
      <c r="H107" s="205"/>
      <c r="I107" s="205"/>
      <c r="J107" s="205"/>
      <c r="K107" s="205"/>
      <c r="L107" s="206" t="s">
        <v>22</v>
      </c>
      <c r="M107" s="337" t="str">
        <f>$E$19</f>
        <v>YOUNG4ENERGY s.r.o.</v>
      </c>
      <c r="N107" s="335"/>
      <c r="O107" s="335"/>
      <c r="P107" s="335"/>
      <c r="Q107" s="335"/>
      <c r="R107" s="204"/>
    </row>
    <row r="108" spans="2:63" s="154" customFormat="1" ht="15" customHeight="1" x14ac:dyDescent="0.3">
      <c r="B108" s="203"/>
      <c r="C108" s="206" t="s">
        <v>20</v>
      </c>
      <c r="D108" s="205"/>
      <c r="E108" s="205"/>
      <c r="F108" s="211" t="str">
        <f>IF($E$16="","",$E$16)</f>
        <v>Vyplň údaj</v>
      </c>
      <c r="G108" s="205"/>
      <c r="H108" s="205"/>
      <c r="I108" s="205"/>
      <c r="J108" s="205"/>
      <c r="K108" s="205"/>
      <c r="L108" s="206" t="s">
        <v>23</v>
      </c>
      <c r="M108" s="337" t="str">
        <f>$E$22</f>
        <v>YOUNG4ENERGY s.r.o.</v>
      </c>
      <c r="N108" s="335"/>
      <c r="O108" s="335"/>
      <c r="P108" s="335"/>
      <c r="Q108" s="335"/>
      <c r="R108" s="204"/>
    </row>
    <row r="109" spans="2:63" s="154" customFormat="1" ht="11.25" customHeight="1" x14ac:dyDescent="0.3">
      <c r="B109" s="203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4"/>
    </row>
    <row r="110" spans="2:63" s="107" customFormat="1" ht="30" customHeight="1" x14ac:dyDescent="0.3">
      <c r="B110" s="212"/>
      <c r="C110" s="104" t="s">
        <v>91</v>
      </c>
      <c r="D110" s="198" t="s">
        <v>92</v>
      </c>
      <c r="E110" s="198" t="s">
        <v>45</v>
      </c>
      <c r="F110" s="317" t="s">
        <v>93</v>
      </c>
      <c r="G110" s="318"/>
      <c r="H110" s="318"/>
      <c r="I110" s="318"/>
      <c r="J110" s="198" t="s">
        <v>94</v>
      </c>
      <c r="K110" s="198" t="s">
        <v>95</v>
      </c>
      <c r="L110" s="317" t="s">
        <v>96</v>
      </c>
      <c r="M110" s="318"/>
      <c r="N110" s="317" t="s">
        <v>97</v>
      </c>
      <c r="O110" s="318"/>
      <c r="P110" s="318"/>
      <c r="Q110" s="319"/>
      <c r="R110" s="213"/>
      <c r="T110" s="55" t="s">
        <v>98</v>
      </c>
      <c r="U110" s="56" t="s">
        <v>27</v>
      </c>
      <c r="V110" s="56" t="s">
        <v>99</v>
      </c>
      <c r="W110" s="56" t="s">
        <v>100</v>
      </c>
      <c r="X110" s="56" t="s">
        <v>101</v>
      </c>
      <c r="Y110" s="56" t="s">
        <v>102</v>
      </c>
      <c r="Z110" s="56" t="s">
        <v>103</v>
      </c>
      <c r="AA110" s="57" t="s">
        <v>104</v>
      </c>
    </row>
    <row r="111" spans="2:63" s="154" customFormat="1" ht="30" customHeight="1" x14ac:dyDescent="0.3">
      <c r="B111" s="203"/>
      <c r="C111" s="214" t="s">
        <v>84</v>
      </c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341">
        <f>N112+N126+N115</f>
        <v>0</v>
      </c>
      <c r="O111" s="335"/>
      <c r="P111" s="335"/>
      <c r="Q111" s="335"/>
      <c r="R111" s="204"/>
      <c r="T111" s="58"/>
      <c r="U111" s="35"/>
      <c r="V111" s="35"/>
      <c r="W111" s="108" t="e">
        <f>$W$112+#REF!+#REF!</f>
        <v>#REF!</v>
      </c>
      <c r="X111" s="35"/>
      <c r="Y111" s="108" t="e">
        <f>$Y$112+#REF!+#REF!</f>
        <v>#REF!</v>
      </c>
      <c r="Z111" s="35"/>
      <c r="AA111" s="109" t="e">
        <f>$AA$112+#REF!+#REF!</f>
        <v>#REF!</v>
      </c>
      <c r="BK111" s="110"/>
    </row>
    <row r="112" spans="2:63" s="141" customFormat="1" ht="24.95" customHeight="1" x14ac:dyDescent="0.35">
      <c r="B112" s="215"/>
      <c r="C112" s="216"/>
      <c r="D112" s="217" t="s">
        <v>255</v>
      </c>
      <c r="E112" s="217"/>
      <c r="F112" s="217"/>
      <c r="G112" s="217"/>
      <c r="H112" s="217"/>
      <c r="I112" s="217"/>
      <c r="J112" s="217"/>
      <c r="K112" s="217"/>
      <c r="L112" s="217"/>
      <c r="M112" s="217"/>
      <c r="N112" s="329">
        <f>N113</f>
        <v>0</v>
      </c>
      <c r="O112" s="328"/>
      <c r="P112" s="328"/>
      <c r="Q112" s="328"/>
      <c r="R112" s="218"/>
      <c r="T112" s="143"/>
      <c r="W112" s="144" t="e">
        <f>$W$113+#REF!+#REF!+#REF!+#REF!+#REF!</f>
        <v>#REF!</v>
      </c>
      <c r="Y112" s="144" t="e">
        <f>$Y$113+#REF!+#REF!+#REF!+#REF!+#REF!</f>
        <v>#REF!</v>
      </c>
      <c r="AA112" s="145" t="e">
        <f>$AA$113+#REF!+#REF!+#REF!+#REF!+#REF!</f>
        <v>#REF!</v>
      </c>
      <c r="AR112" s="161"/>
      <c r="AT112" s="161"/>
      <c r="AU112" s="161"/>
      <c r="AY112" s="161"/>
      <c r="BK112" s="146"/>
    </row>
    <row r="113" spans="2:63" s="141" customFormat="1" ht="20.100000000000001" customHeight="1" x14ac:dyDescent="0.3">
      <c r="B113" s="215"/>
      <c r="C113" s="216"/>
      <c r="D113" s="138" t="s">
        <v>368</v>
      </c>
      <c r="E113" s="219"/>
      <c r="F113" s="219"/>
      <c r="G113" s="219"/>
      <c r="H113" s="219"/>
      <c r="I113" s="219"/>
      <c r="J113" s="219"/>
      <c r="K113" s="219"/>
      <c r="L113" s="219"/>
      <c r="M113" s="219"/>
      <c r="N113" s="327">
        <f>SUM(N114:Q114)</f>
        <v>0</v>
      </c>
      <c r="O113" s="328"/>
      <c r="P113" s="328"/>
      <c r="Q113" s="328"/>
      <c r="R113" s="218"/>
      <c r="T113" s="143"/>
      <c r="W113" s="144">
        <f>SUM($W$114:$W$114)</f>
        <v>0.497</v>
      </c>
      <c r="Y113" s="144">
        <f>SUM($Y$114:$Y$114)</f>
        <v>3.4000000000000002E-4</v>
      </c>
      <c r="AA113" s="145">
        <f>SUM($AA$114:$AA$114)</f>
        <v>0</v>
      </c>
      <c r="AR113" s="161"/>
      <c r="AT113" s="161"/>
      <c r="AU113" s="161"/>
      <c r="AY113" s="161"/>
      <c r="BK113" s="146"/>
    </row>
    <row r="114" spans="2:63" s="154" customFormat="1" ht="150" customHeight="1" x14ac:dyDescent="0.3">
      <c r="B114" s="203"/>
      <c r="C114" s="179">
        <v>1</v>
      </c>
      <c r="D114" s="183"/>
      <c r="E114" s="189"/>
      <c r="F114" s="292" t="s">
        <v>376</v>
      </c>
      <c r="G114" s="293" t="s">
        <v>120</v>
      </c>
      <c r="H114" s="293" t="s">
        <v>120</v>
      </c>
      <c r="I114" s="294" t="s">
        <v>120</v>
      </c>
      <c r="J114" s="122" t="s">
        <v>109</v>
      </c>
      <c r="K114" s="180">
        <v>1</v>
      </c>
      <c r="L114" s="300">
        <v>0</v>
      </c>
      <c r="M114" s="301"/>
      <c r="N114" s="288">
        <f>ROUND(L114*K114,2)</f>
        <v>0</v>
      </c>
      <c r="O114" s="289"/>
      <c r="P114" s="289"/>
      <c r="Q114" s="289"/>
      <c r="R114" s="204"/>
      <c r="T114" s="124"/>
      <c r="U114" s="28" t="s">
        <v>28</v>
      </c>
      <c r="V114" s="125">
        <v>0.497</v>
      </c>
      <c r="W114" s="125">
        <f>$V$114*$K$114</f>
        <v>0.497</v>
      </c>
      <c r="X114" s="125">
        <v>3.4000000000000002E-4</v>
      </c>
      <c r="Y114" s="125">
        <f>$X$114*$K$114</f>
        <v>3.4000000000000002E-4</v>
      </c>
      <c r="Z114" s="125">
        <v>0</v>
      </c>
      <c r="AA114" s="126">
        <f>$Z$114*$K$114</f>
        <v>0</v>
      </c>
      <c r="BE114" s="88"/>
      <c r="BF114" s="88"/>
      <c r="BG114" s="88"/>
      <c r="BH114" s="88"/>
      <c r="BI114" s="88"/>
      <c r="BK114" s="88"/>
    </row>
    <row r="115" spans="2:63" s="141" customFormat="1" ht="24.95" customHeight="1" x14ac:dyDescent="0.35">
      <c r="B115" s="215"/>
      <c r="C115" s="216"/>
      <c r="D115" s="217" t="s">
        <v>367</v>
      </c>
      <c r="E115" s="217"/>
      <c r="F115" s="217"/>
      <c r="G115" s="217"/>
      <c r="H115" s="217"/>
      <c r="I115" s="217"/>
      <c r="J115" s="217"/>
      <c r="K115" s="217"/>
      <c r="L115" s="217"/>
      <c r="M115" s="217"/>
      <c r="N115" s="329">
        <f>+N118+N120+N124+N116</f>
        <v>0</v>
      </c>
      <c r="O115" s="329"/>
      <c r="P115" s="329"/>
      <c r="Q115" s="329"/>
      <c r="R115" s="218"/>
      <c r="T115" s="143"/>
      <c r="W115" s="144"/>
      <c r="Y115" s="144"/>
      <c r="AA115" s="145"/>
      <c r="AR115" s="161"/>
      <c r="AT115" s="161"/>
      <c r="AU115" s="161"/>
      <c r="AY115" s="161"/>
      <c r="BK115" s="146"/>
    </row>
    <row r="116" spans="2:63" s="154" customFormat="1" ht="20.100000000000001" customHeight="1" x14ac:dyDescent="0.3">
      <c r="B116" s="203"/>
      <c r="C116" s="216"/>
      <c r="D116" s="219" t="s">
        <v>372</v>
      </c>
      <c r="E116" s="219"/>
      <c r="F116" s="219"/>
      <c r="G116" s="219"/>
      <c r="H116" s="219"/>
      <c r="I116" s="219"/>
      <c r="J116" s="219"/>
      <c r="K116" s="219"/>
      <c r="L116" s="219"/>
      <c r="M116" s="219"/>
      <c r="N116" s="327">
        <f>SUM(N117:Q117)</f>
        <v>0</v>
      </c>
      <c r="O116" s="328"/>
      <c r="P116" s="328"/>
      <c r="Q116" s="328"/>
      <c r="R116" s="204"/>
      <c r="T116" s="133"/>
      <c r="U116" s="28"/>
      <c r="V116" s="125"/>
      <c r="W116" s="125"/>
      <c r="X116" s="125"/>
      <c r="Y116" s="125"/>
      <c r="Z116" s="125"/>
      <c r="AA116" s="126"/>
      <c r="BE116" s="88"/>
      <c r="BF116" s="88"/>
      <c r="BG116" s="88"/>
      <c r="BH116" s="88"/>
      <c r="BI116" s="88"/>
      <c r="BK116" s="88"/>
    </row>
    <row r="117" spans="2:63" s="154" customFormat="1" ht="30" customHeight="1" x14ac:dyDescent="0.3">
      <c r="B117" s="203"/>
      <c r="C117" s="179">
        <f>C114+1</f>
        <v>2</v>
      </c>
      <c r="D117" s="131"/>
      <c r="E117" s="190"/>
      <c r="F117" s="326" t="s">
        <v>374</v>
      </c>
      <c r="G117" s="289" t="s">
        <v>148</v>
      </c>
      <c r="H117" s="289" t="s">
        <v>148</v>
      </c>
      <c r="I117" s="289" t="s">
        <v>148</v>
      </c>
      <c r="J117" s="182" t="s">
        <v>112</v>
      </c>
      <c r="K117" s="180">
        <v>1</v>
      </c>
      <c r="L117" s="290">
        <v>0</v>
      </c>
      <c r="M117" s="291"/>
      <c r="N117" s="288">
        <f>ROUND(L117*K117,2)</f>
        <v>0</v>
      </c>
      <c r="O117" s="289"/>
      <c r="P117" s="289"/>
      <c r="Q117" s="289"/>
      <c r="R117" s="204"/>
      <c r="T117" s="133"/>
      <c r="U117" s="28"/>
      <c r="V117" s="125"/>
      <c r="W117" s="125"/>
      <c r="X117" s="125"/>
      <c r="Y117" s="125"/>
      <c r="Z117" s="125"/>
      <c r="AA117" s="126"/>
      <c r="BE117" s="88"/>
      <c r="BF117" s="88"/>
      <c r="BG117" s="88"/>
      <c r="BH117" s="88"/>
      <c r="BI117" s="88"/>
      <c r="BK117" s="88"/>
    </row>
    <row r="118" spans="2:63" s="168" customFormat="1" ht="20.100000000000001" customHeight="1" x14ac:dyDescent="0.3">
      <c r="B118" s="203"/>
      <c r="C118" s="216"/>
      <c r="D118" s="219" t="s">
        <v>369</v>
      </c>
      <c r="E118" s="219"/>
      <c r="F118" s="219"/>
      <c r="G118" s="219"/>
      <c r="H118" s="219"/>
      <c r="I118" s="219"/>
      <c r="J118" s="219"/>
      <c r="K118" s="219"/>
      <c r="L118" s="219"/>
      <c r="M118" s="219"/>
      <c r="N118" s="299">
        <f>SUM(N119)</f>
        <v>0</v>
      </c>
      <c r="O118" s="299"/>
      <c r="P118" s="299"/>
      <c r="Q118" s="299"/>
      <c r="R118" s="204"/>
      <c r="T118" s="124"/>
      <c r="U118" s="28"/>
      <c r="V118" s="125"/>
      <c r="W118" s="125"/>
      <c r="X118" s="125"/>
      <c r="Y118" s="125"/>
      <c r="Z118" s="125"/>
      <c r="AA118" s="126"/>
      <c r="BE118" s="88"/>
      <c r="BF118" s="88"/>
      <c r="BG118" s="88"/>
      <c r="BH118" s="88"/>
      <c r="BI118" s="88"/>
      <c r="BK118" s="88"/>
    </row>
    <row r="119" spans="2:63" s="168" customFormat="1" ht="75" customHeight="1" x14ac:dyDescent="0.3">
      <c r="B119" s="203"/>
      <c r="C119" s="179">
        <f>C117+1</f>
        <v>3</v>
      </c>
      <c r="D119" s="179"/>
      <c r="E119" s="190"/>
      <c r="F119" s="295" t="s">
        <v>191</v>
      </c>
      <c r="G119" s="296" t="s">
        <v>168</v>
      </c>
      <c r="H119" s="296" t="s">
        <v>168</v>
      </c>
      <c r="I119" s="296" t="s">
        <v>168</v>
      </c>
      <c r="J119" s="182" t="s">
        <v>112</v>
      </c>
      <c r="K119" s="180">
        <v>1</v>
      </c>
      <c r="L119" s="290">
        <v>0</v>
      </c>
      <c r="M119" s="291"/>
      <c r="N119" s="288">
        <f>ROUND(L119*K119,2)</f>
        <v>0</v>
      </c>
      <c r="O119" s="289"/>
      <c r="P119" s="289"/>
      <c r="Q119" s="289"/>
      <c r="R119" s="204"/>
      <c r="T119" s="124"/>
      <c r="U119" s="28"/>
      <c r="V119" s="125"/>
      <c r="W119" s="125"/>
      <c r="X119" s="125"/>
      <c r="Y119" s="125"/>
      <c r="Z119" s="125"/>
      <c r="AA119" s="126"/>
      <c r="BE119" s="88"/>
      <c r="BF119" s="88"/>
      <c r="BG119" s="88"/>
      <c r="BH119" s="88"/>
      <c r="BI119" s="88"/>
      <c r="BK119" s="88"/>
    </row>
    <row r="120" spans="2:63" s="168" customFormat="1" ht="20.100000000000001" customHeight="1" x14ac:dyDescent="0.3">
      <c r="B120" s="203"/>
      <c r="C120" s="216"/>
      <c r="D120" s="219" t="s">
        <v>370</v>
      </c>
      <c r="E120" s="219"/>
      <c r="F120" s="219"/>
      <c r="G120" s="219"/>
      <c r="H120" s="219"/>
      <c r="I120" s="219"/>
      <c r="J120" s="219"/>
      <c r="K120" s="219"/>
      <c r="L120" s="219"/>
      <c r="M120" s="219"/>
      <c r="N120" s="327">
        <f>SUM(N121:Q123)</f>
        <v>0</v>
      </c>
      <c r="O120" s="328"/>
      <c r="P120" s="328"/>
      <c r="Q120" s="328"/>
      <c r="R120" s="204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3" s="154" customFormat="1" ht="30" customHeight="1" x14ac:dyDescent="0.3">
      <c r="B121" s="203"/>
      <c r="C121" s="179">
        <f>C119+1</f>
        <v>4</v>
      </c>
      <c r="D121" s="179"/>
      <c r="E121" s="190"/>
      <c r="F121" s="331" t="s">
        <v>198</v>
      </c>
      <c r="G121" s="332" t="s">
        <v>170</v>
      </c>
      <c r="H121" s="332" t="s">
        <v>170</v>
      </c>
      <c r="I121" s="333" t="s">
        <v>170</v>
      </c>
      <c r="J121" s="182" t="s">
        <v>107</v>
      </c>
      <c r="K121" s="180">
        <v>20</v>
      </c>
      <c r="L121" s="300">
        <v>0</v>
      </c>
      <c r="M121" s="301"/>
      <c r="N121" s="302">
        <f t="shared" ref="N121:N123" si="0">ROUND(L121*K121,2)</f>
        <v>0</v>
      </c>
      <c r="O121" s="303"/>
      <c r="P121" s="303"/>
      <c r="Q121" s="304"/>
      <c r="R121" s="204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3" s="154" customFormat="1" ht="30" customHeight="1" x14ac:dyDescent="0.3">
      <c r="B122" s="203"/>
      <c r="C122" s="179">
        <f>C121+1</f>
        <v>5</v>
      </c>
      <c r="D122" s="179"/>
      <c r="E122" s="190"/>
      <c r="F122" s="292" t="s">
        <v>201</v>
      </c>
      <c r="G122" s="293" t="s">
        <v>150</v>
      </c>
      <c r="H122" s="293" t="s">
        <v>150</v>
      </c>
      <c r="I122" s="294" t="s">
        <v>150</v>
      </c>
      <c r="J122" s="182" t="s">
        <v>107</v>
      </c>
      <c r="K122" s="180">
        <v>10</v>
      </c>
      <c r="L122" s="300">
        <v>0</v>
      </c>
      <c r="M122" s="301"/>
      <c r="N122" s="302">
        <f t="shared" si="0"/>
        <v>0</v>
      </c>
      <c r="O122" s="303"/>
      <c r="P122" s="303"/>
      <c r="Q122" s="304"/>
      <c r="R122" s="204"/>
      <c r="T122" s="133"/>
      <c r="U122" s="28"/>
      <c r="V122" s="125"/>
      <c r="W122" s="125"/>
      <c r="X122" s="125"/>
      <c r="Y122" s="125"/>
      <c r="Z122" s="125"/>
      <c r="AA122" s="126"/>
      <c r="BE122" s="88"/>
      <c r="BF122" s="88"/>
      <c r="BG122" s="88"/>
      <c r="BH122" s="88"/>
      <c r="BI122" s="88"/>
      <c r="BK122" s="88"/>
    </row>
    <row r="123" spans="2:63" s="168" customFormat="1" ht="30" customHeight="1" x14ac:dyDescent="0.3">
      <c r="B123" s="203"/>
      <c r="C123" s="179">
        <f>C122+1</f>
        <v>6</v>
      </c>
      <c r="D123" s="179"/>
      <c r="E123" s="190"/>
      <c r="F123" s="292" t="s">
        <v>216</v>
      </c>
      <c r="G123" s="293" t="s">
        <v>135</v>
      </c>
      <c r="H123" s="293" t="s">
        <v>135</v>
      </c>
      <c r="I123" s="294" t="s">
        <v>135</v>
      </c>
      <c r="J123" s="182" t="s">
        <v>107</v>
      </c>
      <c r="K123" s="180">
        <v>10</v>
      </c>
      <c r="L123" s="290">
        <v>0</v>
      </c>
      <c r="M123" s="291"/>
      <c r="N123" s="288">
        <f t="shared" si="0"/>
        <v>0</v>
      </c>
      <c r="O123" s="289"/>
      <c r="P123" s="289"/>
      <c r="Q123" s="289"/>
      <c r="R123" s="204"/>
      <c r="T123" s="124"/>
      <c r="U123" s="28"/>
      <c r="V123" s="125"/>
      <c r="W123" s="125"/>
      <c r="X123" s="125"/>
      <c r="Y123" s="125"/>
      <c r="Z123" s="125"/>
      <c r="AA123" s="126"/>
      <c r="BE123" s="88"/>
      <c r="BF123" s="88"/>
      <c r="BG123" s="88"/>
      <c r="BH123" s="88"/>
      <c r="BI123" s="88"/>
      <c r="BK123" s="88"/>
    </row>
    <row r="124" spans="2:63" s="154" customFormat="1" ht="20.100000000000001" customHeight="1" x14ac:dyDescent="0.3">
      <c r="B124" s="203"/>
      <c r="C124" s="174"/>
      <c r="D124" s="219" t="s">
        <v>371</v>
      </c>
      <c r="E124" s="219"/>
      <c r="F124" s="219"/>
      <c r="G124" s="219"/>
      <c r="H124" s="219"/>
      <c r="I124" s="219"/>
      <c r="J124" s="219"/>
      <c r="K124" s="219"/>
      <c r="L124" s="219"/>
      <c r="M124" s="219"/>
      <c r="N124" s="327">
        <f>SUM(N125:Q125)</f>
        <v>0</v>
      </c>
      <c r="O124" s="328"/>
      <c r="P124" s="328"/>
      <c r="Q124" s="328"/>
      <c r="R124" s="204"/>
      <c r="T124" s="124"/>
      <c r="U124" s="28"/>
      <c r="V124" s="125"/>
      <c r="W124" s="125"/>
      <c r="X124" s="125"/>
      <c r="Y124" s="125"/>
      <c r="Z124" s="125"/>
      <c r="AA124" s="126"/>
      <c r="BE124" s="88"/>
      <c r="BF124" s="88"/>
      <c r="BG124" s="88"/>
      <c r="BH124" s="88"/>
      <c r="BI124" s="88"/>
      <c r="BK124" s="88"/>
    </row>
    <row r="125" spans="2:63" s="141" customFormat="1" ht="20.100000000000001" customHeight="1" x14ac:dyDescent="0.3">
      <c r="B125" s="215"/>
      <c r="C125" s="179">
        <f>C123+1</f>
        <v>7</v>
      </c>
      <c r="D125" s="179"/>
      <c r="E125" s="190"/>
      <c r="F125" s="326" t="s">
        <v>229</v>
      </c>
      <c r="G125" s="289" t="s">
        <v>151</v>
      </c>
      <c r="H125" s="289" t="s">
        <v>151</v>
      </c>
      <c r="I125" s="289" t="s">
        <v>151</v>
      </c>
      <c r="J125" s="182" t="s">
        <v>107</v>
      </c>
      <c r="K125" s="180">
        <v>6</v>
      </c>
      <c r="L125" s="290">
        <v>0</v>
      </c>
      <c r="M125" s="291"/>
      <c r="N125" s="288">
        <f>ROUND(L125*K125,2)</f>
        <v>0</v>
      </c>
      <c r="O125" s="289"/>
      <c r="P125" s="289"/>
      <c r="Q125" s="289"/>
      <c r="R125" s="218"/>
      <c r="T125" s="143"/>
      <c r="W125" s="144"/>
      <c r="Y125" s="144"/>
      <c r="AA125" s="145"/>
      <c r="AR125" s="161"/>
      <c r="AT125" s="161"/>
      <c r="AU125" s="161"/>
      <c r="AY125" s="161"/>
      <c r="BK125" s="146"/>
    </row>
    <row r="126" spans="2:63" s="168" customFormat="1" ht="24.95" customHeight="1" x14ac:dyDescent="0.35">
      <c r="B126" s="203"/>
      <c r="C126" s="216"/>
      <c r="D126" s="217" t="s">
        <v>144</v>
      </c>
      <c r="E126" s="217"/>
      <c r="F126" s="217"/>
      <c r="G126" s="217"/>
      <c r="H126" s="217"/>
      <c r="I126" s="217"/>
      <c r="J126" s="217"/>
      <c r="K126" s="217"/>
      <c r="L126" s="217"/>
      <c r="M126" s="217"/>
      <c r="N126" s="329">
        <f>N137+N135+N127</f>
        <v>0</v>
      </c>
      <c r="O126" s="329"/>
      <c r="P126" s="329"/>
      <c r="Q126" s="329"/>
      <c r="R126" s="204"/>
      <c r="T126" s="124"/>
      <c r="U126" s="28"/>
      <c r="V126" s="125"/>
      <c r="W126" s="125"/>
      <c r="X126" s="125"/>
      <c r="Y126" s="125"/>
      <c r="Z126" s="125"/>
      <c r="AA126" s="126"/>
      <c r="BE126" s="88"/>
      <c r="BF126" s="88"/>
      <c r="BG126" s="88"/>
      <c r="BH126" s="88"/>
      <c r="BI126" s="88"/>
      <c r="BK126" s="88"/>
    </row>
    <row r="127" spans="2:63" s="154" customFormat="1" ht="20.100000000000001" customHeight="1" x14ac:dyDescent="0.3">
      <c r="B127" s="203"/>
      <c r="C127" s="216"/>
      <c r="D127" s="219" t="s">
        <v>130</v>
      </c>
      <c r="E127" s="219"/>
      <c r="F127" s="219"/>
      <c r="G127" s="219"/>
      <c r="H127" s="219"/>
      <c r="I127" s="219"/>
      <c r="J127" s="219"/>
      <c r="K127" s="219"/>
      <c r="L127" s="219"/>
      <c r="M127" s="219"/>
      <c r="N127" s="327">
        <f>SUM(N128:Q134)</f>
        <v>0</v>
      </c>
      <c r="O127" s="328"/>
      <c r="P127" s="328"/>
      <c r="Q127" s="328"/>
      <c r="R127" s="204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3" s="168" customFormat="1" ht="20.100000000000001" customHeight="1" x14ac:dyDescent="0.3">
      <c r="B128" s="203"/>
      <c r="C128" s="179">
        <f>C125+1</f>
        <v>8</v>
      </c>
      <c r="D128" s="179"/>
      <c r="E128" s="190"/>
      <c r="F128" s="326" t="s">
        <v>235</v>
      </c>
      <c r="G128" s="330" t="s">
        <v>153</v>
      </c>
      <c r="H128" s="330" t="s">
        <v>153</v>
      </c>
      <c r="I128" s="330" t="s">
        <v>153</v>
      </c>
      <c r="J128" s="182" t="s">
        <v>112</v>
      </c>
      <c r="K128" s="180">
        <v>2</v>
      </c>
      <c r="L128" s="290">
        <v>0</v>
      </c>
      <c r="M128" s="291"/>
      <c r="N128" s="288">
        <f t="shared" ref="N128:N132" si="1">ROUND(L128*K128,2)</f>
        <v>0</v>
      </c>
      <c r="O128" s="289"/>
      <c r="P128" s="289"/>
      <c r="Q128" s="289"/>
      <c r="R128" s="204"/>
      <c r="T128" s="124"/>
      <c r="U128" s="28"/>
      <c r="V128" s="125"/>
      <c r="W128" s="125"/>
      <c r="X128" s="125"/>
      <c r="Y128" s="125"/>
      <c r="Z128" s="125"/>
      <c r="AA128" s="126"/>
      <c r="BE128" s="88"/>
      <c r="BF128" s="88"/>
      <c r="BG128" s="88"/>
      <c r="BH128" s="88"/>
      <c r="BI128" s="88"/>
      <c r="BK128" s="88"/>
    </row>
    <row r="129" spans="1:63" s="154" customFormat="1" ht="20.100000000000001" customHeight="1" x14ac:dyDescent="0.3">
      <c r="B129" s="203"/>
      <c r="C129" s="179">
        <f t="shared" ref="C129:C132" si="2">C128+1</f>
        <v>9</v>
      </c>
      <c r="D129" s="179"/>
      <c r="E129" s="190"/>
      <c r="F129" s="326" t="s">
        <v>244</v>
      </c>
      <c r="G129" s="289" t="s">
        <v>153</v>
      </c>
      <c r="H129" s="289" t="s">
        <v>153</v>
      </c>
      <c r="I129" s="289" t="s">
        <v>153</v>
      </c>
      <c r="J129" s="182" t="s">
        <v>112</v>
      </c>
      <c r="K129" s="180">
        <v>2</v>
      </c>
      <c r="L129" s="290">
        <v>0</v>
      </c>
      <c r="M129" s="291"/>
      <c r="N129" s="288">
        <f t="shared" ref="N129:N131" si="3">ROUND(L129*K129,2)</f>
        <v>0</v>
      </c>
      <c r="O129" s="289"/>
      <c r="P129" s="289"/>
      <c r="Q129" s="289"/>
      <c r="R129" s="204"/>
      <c r="T129" s="124"/>
      <c r="U129" s="28"/>
      <c r="V129" s="125"/>
      <c r="W129" s="125"/>
      <c r="X129" s="125"/>
      <c r="Y129" s="125"/>
      <c r="Z129" s="125"/>
      <c r="AA129" s="126"/>
      <c r="BE129" s="88"/>
      <c r="BF129" s="88"/>
      <c r="BG129" s="88"/>
      <c r="BH129" s="88"/>
      <c r="BI129" s="88"/>
      <c r="BK129" s="88"/>
    </row>
    <row r="130" spans="1:63" s="154" customFormat="1" ht="20.100000000000001" customHeight="1" x14ac:dyDescent="0.3">
      <c r="B130" s="203"/>
      <c r="C130" s="179">
        <f>C129+1</f>
        <v>10</v>
      </c>
      <c r="D130" s="179"/>
      <c r="E130" s="190"/>
      <c r="F130" s="326" t="s">
        <v>238</v>
      </c>
      <c r="G130" s="289" t="s">
        <v>153</v>
      </c>
      <c r="H130" s="289" t="s">
        <v>153</v>
      </c>
      <c r="I130" s="289" t="s">
        <v>153</v>
      </c>
      <c r="J130" s="182" t="s">
        <v>112</v>
      </c>
      <c r="K130" s="180">
        <v>2</v>
      </c>
      <c r="L130" s="290">
        <v>0</v>
      </c>
      <c r="M130" s="291"/>
      <c r="N130" s="288">
        <f t="shared" si="3"/>
        <v>0</v>
      </c>
      <c r="O130" s="289"/>
      <c r="P130" s="289"/>
      <c r="Q130" s="289"/>
      <c r="R130" s="204"/>
      <c r="T130" s="124"/>
      <c r="U130" s="28"/>
      <c r="V130" s="125"/>
      <c r="W130" s="125"/>
      <c r="X130" s="125"/>
      <c r="Y130" s="125"/>
      <c r="Z130" s="125"/>
      <c r="AA130" s="126"/>
      <c r="BE130" s="88"/>
      <c r="BF130" s="88"/>
      <c r="BG130" s="88"/>
      <c r="BH130" s="88"/>
      <c r="BI130" s="88"/>
      <c r="BK130" s="88"/>
    </row>
    <row r="131" spans="1:63" s="154" customFormat="1" ht="20.100000000000001" customHeight="1" x14ac:dyDescent="0.3">
      <c r="B131" s="203"/>
      <c r="C131" s="179">
        <f t="shared" si="2"/>
        <v>11</v>
      </c>
      <c r="D131" s="179"/>
      <c r="E131" s="190"/>
      <c r="F131" s="326" t="s">
        <v>239</v>
      </c>
      <c r="G131" s="289" t="s">
        <v>153</v>
      </c>
      <c r="H131" s="289" t="s">
        <v>153</v>
      </c>
      <c r="I131" s="289" t="s">
        <v>153</v>
      </c>
      <c r="J131" s="182" t="s">
        <v>112</v>
      </c>
      <c r="K131" s="180">
        <v>2</v>
      </c>
      <c r="L131" s="290">
        <v>0</v>
      </c>
      <c r="M131" s="291"/>
      <c r="N131" s="288">
        <f t="shared" si="3"/>
        <v>0</v>
      </c>
      <c r="O131" s="289"/>
      <c r="P131" s="289"/>
      <c r="Q131" s="289"/>
      <c r="R131" s="204"/>
      <c r="T131" s="124"/>
      <c r="U131" s="28"/>
      <c r="V131" s="125"/>
      <c r="W131" s="125"/>
      <c r="X131" s="125"/>
      <c r="Y131" s="125"/>
      <c r="Z131" s="125"/>
      <c r="AA131" s="126"/>
      <c r="BE131" s="88"/>
      <c r="BF131" s="88"/>
      <c r="BG131" s="88"/>
      <c r="BH131" s="88"/>
      <c r="BI131" s="88"/>
      <c r="BK131" s="88"/>
    </row>
    <row r="132" spans="1:63" s="154" customFormat="1" ht="30" customHeight="1" x14ac:dyDescent="0.3">
      <c r="B132" s="203"/>
      <c r="C132" s="179">
        <f t="shared" si="2"/>
        <v>12</v>
      </c>
      <c r="D132" s="179"/>
      <c r="E132" s="190"/>
      <c r="F132" s="326" t="s">
        <v>199</v>
      </c>
      <c r="G132" s="289" t="s">
        <v>155</v>
      </c>
      <c r="H132" s="289" t="s">
        <v>155</v>
      </c>
      <c r="I132" s="289" t="s">
        <v>155</v>
      </c>
      <c r="J132" s="182" t="s">
        <v>112</v>
      </c>
      <c r="K132" s="180">
        <v>8</v>
      </c>
      <c r="L132" s="290">
        <v>0</v>
      </c>
      <c r="M132" s="291"/>
      <c r="N132" s="288">
        <f t="shared" si="1"/>
        <v>0</v>
      </c>
      <c r="O132" s="289"/>
      <c r="P132" s="289"/>
      <c r="Q132" s="289"/>
      <c r="R132" s="204"/>
      <c r="T132" s="124"/>
      <c r="U132" s="28"/>
      <c r="V132" s="125"/>
      <c r="W132" s="125"/>
      <c r="X132" s="125"/>
      <c r="Y132" s="125"/>
      <c r="Z132" s="125"/>
      <c r="AA132" s="126"/>
      <c r="BE132" s="88"/>
      <c r="BF132" s="88"/>
      <c r="BG132" s="88"/>
      <c r="BH132" s="88"/>
      <c r="BI132" s="88"/>
      <c r="BK132" s="88"/>
    </row>
    <row r="133" spans="1:63" s="154" customFormat="1" ht="30" customHeight="1" x14ac:dyDescent="0.3">
      <c r="B133" s="203"/>
      <c r="C133" s="179">
        <f>C132+1</f>
        <v>13</v>
      </c>
      <c r="D133" s="179"/>
      <c r="E133" s="190"/>
      <c r="F133" s="295" t="s">
        <v>219</v>
      </c>
      <c r="G133" s="296" t="s">
        <v>125</v>
      </c>
      <c r="H133" s="296" t="s">
        <v>125</v>
      </c>
      <c r="I133" s="296" t="s">
        <v>125</v>
      </c>
      <c r="J133" s="182" t="s">
        <v>112</v>
      </c>
      <c r="K133" s="180">
        <v>8</v>
      </c>
      <c r="L133" s="300">
        <v>0</v>
      </c>
      <c r="M133" s="301"/>
      <c r="N133" s="302">
        <f>ROUND(L133*K133,2)</f>
        <v>0</v>
      </c>
      <c r="O133" s="303"/>
      <c r="P133" s="303"/>
      <c r="Q133" s="304"/>
      <c r="R133" s="204"/>
      <c r="T133" s="124"/>
      <c r="U133" s="28"/>
      <c r="V133" s="125"/>
      <c r="W133" s="125"/>
      <c r="X133" s="125"/>
      <c r="Y133" s="125"/>
      <c r="Z133" s="125"/>
      <c r="AA133" s="126"/>
      <c r="BE133" s="88"/>
      <c r="BF133" s="88"/>
      <c r="BG133" s="88"/>
      <c r="BH133" s="88"/>
      <c r="BI133" s="88"/>
      <c r="BK133" s="88"/>
    </row>
    <row r="134" spans="1:63" s="141" customFormat="1" ht="45" customHeight="1" x14ac:dyDescent="0.3">
      <c r="B134" s="215"/>
      <c r="C134" s="179">
        <f>C133+1</f>
        <v>14</v>
      </c>
      <c r="D134" s="179"/>
      <c r="E134" s="190"/>
      <c r="F134" s="295" t="s">
        <v>227</v>
      </c>
      <c r="G134" s="296" t="s">
        <v>126</v>
      </c>
      <c r="H134" s="296" t="s">
        <v>126</v>
      </c>
      <c r="I134" s="296" t="s">
        <v>126</v>
      </c>
      <c r="J134" s="182" t="s">
        <v>112</v>
      </c>
      <c r="K134" s="180">
        <v>1</v>
      </c>
      <c r="L134" s="290">
        <v>0</v>
      </c>
      <c r="M134" s="291"/>
      <c r="N134" s="288">
        <f>ROUND(L134*K134,2)</f>
        <v>0</v>
      </c>
      <c r="O134" s="289"/>
      <c r="P134" s="289"/>
      <c r="Q134" s="289"/>
      <c r="R134" s="218"/>
      <c r="T134" s="143"/>
      <c r="W134" s="144"/>
      <c r="Y134" s="144"/>
      <c r="AA134" s="145"/>
      <c r="AR134" s="161"/>
      <c r="AT134" s="161"/>
      <c r="AU134" s="161"/>
      <c r="AY134" s="161"/>
      <c r="BK134" s="146"/>
    </row>
    <row r="135" spans="1:63" s="154" customFormat="1" ht="20.100000000000001" customHeight="1" x14ac:dyDescent="0.3">
      <c r="B135" s="203"/>
      <c r="C135" s="216"/>
      <c r="D135" s="219" t="s">
        <v>364</v>
      </c>
      <c r="E135" s="219"/>
      <c r="F135" s="219"/>
      <c r="G135" s="219"/>
      <c r="H135" s="219"/>
      <c r="I135" s="219"/>
      <c r="J135" s="219"/>
      <c r="K135" s="219"/>
      <c r="L135" s="219"/>
      <c r="M135" s="219"/>
      <c r="N135" s="327">
        <f>SUM(N136:Q136)</f>
        <v>0</v>
      </c>
      <c r="O135" s="328"/>
      <c r="P135" s="328"/>
      <c r="Q135" s="328"/>
      <c r="R135" s="204"/>
      <c r="T135" s="133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1:63" s="154" customFormat="1" ht="20.100000000000001" customHeight="1" x14ac:dyDescent="0.3">
      <c r="B136" s="203"/>
      <c r="C136" s="179">
        <f>C134+1</f>
        <v>15</v>
      </c>
      <c r="D136" s="179"/>
      <c r="E136" s="190"/>
      <c r="F136" s="292" t="s">
        <v>197</v>
      </c>
      <c r="G136" s="293" t="s">
        <v>157</v>
      </c>
      <c r="H136" s="293" t="s">
        <v>157</v>
      </c>
      <c r="I136" s="294" t="s">
        <v>157</v>
      </c>
      <c r="J136" s="182" t="s">
        <v>107</v>
      </c>
      <c r="K136" s="180">
        <v>5</v>
      </c>
      <c r="L136" s="300">
        <v>0</v>
      </c>
      <c r="M136" s="301"/>
      <c r="N136" s="288">
        <f t="shared" ref="N136" si="4">ROUND(L136*K136,2)</f>
        <v>0</v>
      </c>
      <c r="O136" s="289"/>
      <c r="P136" s="289"/>
      <c r="Q136" s="289"/>
      <c r="R136" s="204"/>
      <c r="T136" s="133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1:63" s="154" customFormat="1" ht="20.100000000000001" customHeight="1" x14ac:dyDescent="0.3">
      <c r="B137" s="203"/>
      <c r="C137" s="216"/>
      <c r="D137" s="219" t="s">
        <v>365</v>
      </c>
      <c r="E137" s="219"/>
      <c r="F137" s="219"/>
      <c r="G137" s="219"/>
      <c r="H137" s="219"/>
      <c r="I137" s="219"/>
      <c r="J137" s="219"/>
      <c r="K137" s="219"/>
      <c r="L137" s="219"/>
      <c r="M137" s="219"/>
      <c r="N137" s="327">
        <f>SUM(N138:Q139)</f>
        <v>0</v>
      </c>
      <c r="O137" s="328"/>
      <c r="P137" s="328"/>
      <c r="Q137" s="328"/>
      <c r="R137" s="204"/>
      <c r="T137" s="133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1:63" s="154" customFormat="1" ht="60" customHeight="1" x14ac:dyDescent="0.3">
      <c r="B138" s="203"/>
      <c r="C138" s="179">
        <f>C136+1</f>
        <v>16</v>
      </c>
      <c r="D138" s="179"/>
      <c r="E138" s="189"/>
      <c r="F138" s="295" t="s">
        <v>233</v>
      </c>
      <c r="G138" s="296" t="s">
        <v>158</v>
      </c>
      <c r="H138" s="296" t="s">
        <v>158</v>
      </c>
      <c r="I138" s="296" t="s">
        <v>158</v>
      </c>
      <c r="J138" s="122" t="s">
        <v>109</v>
      </c>
      <c r="K138" s="180">
        <v>1</v>
      </c>
      <c r="L138" s="290">
        <v>0</v>
      </c>
      <c r="M138" s="291"/>
      <c r="N138" s="288">
        <f>ROUND(L138*K138,2)</f>
        <v>0</v>
      </c>
      <c r="O138" s="289"/>
      <c r="P138" s="289"/>
      <c r="Q138" s="289"/>
      <c r="R138" s="204"/>
      <c r="T138" s="124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1:63" s="154" customFormat="1" ht="30" customHeight="1" x14ac:dyDescent="0.3">
      <c r="B139" s="203"/>
      <c r="C139" s="179">
        <f>C138+1</f>
        <v>17</v>
      </c>
      <c r="D139" s="179"/>
      <c r="E139" s="190"/>
      <c r="F139" s="292" t="s">
        <v>373</v>
      </c>
      <c r="G139" s="293" t="s">
        <v>138</v>
      </c>
      <c r="H139" s="293" t="s">
        <v>138</v>
      </c>
      <c r="I139" s="294" t="s">
        <v>138</v>
      </c>
      <c r="J139" s="182" t="s">
        <v>107</v>
      </c>
      <c r="K139" s="180">
        <v>18</v>
      </c>
      <c r="L139" s="300">
        <v>0</v>
      </c>
      <c r="M139" s="301"/>
      <c r="N139" s="288">
        <f t="shared" ref="N139" si="5">ROUND(L139*K139,2)</f>
        <v>0</v>
      </c>
      <c r="O139" s="289"/>
      <c r="P139" s="289"/>
      <c r="Q139" s="289"/>
      <c r="R139" s="204"/>
      <c r="T139" s="124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1:63" ht="7.5" customHeight="1" x14ac:dyDescent="0.3">
      <c r="A140" s="209"/>
      <c r="B140" s="22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136"/>
    </row>
  </sheetData>
  <sheetProtection algorithmName="SHA-512" hashValue="BIHbeDZJYztE8sXu3+061tKZjGWPlrTxs1tbe26eZ86G52rpr760uHFwGyE+u1s30W9SMj/ntg3VueEDDIX4Ig==" saltValue="jeglPfXddQBTmAZ06WT0ZQ==" spinCount="100000" sheet="1" selectLockedCells="1"/>
  <mergeCells count="118"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O15:P15"/>
    <mergeCell ref="H31:J31"/>
    <mergeCell ref="M31:P31"/>
    <mergeCell ref="H32:J32"/>
    <mergeCell ref="M32:P32"/>
    <mergeCell ref="H33:J33"/>
    <mergeCell ref="M33:P33"/>
    <mergeCell ref="M25:P25"/>
    <mergeCell ref="M27:P27"/>
    <mergeCell ref="H29:J29"/>
    <mergeCell ref="M29:P29"/>
    <mergeCell ref="H30:J30"/>
    <mergeCell ref="M30:P30"/>
    <mergeCell ref="M83:Q83"/>
    <mergeCell ref="M84:Q84"/>
    <mergeCell ref="C86:G86"/>
    <mergeCell ref="N86:Q86"/>
    <mergeCell ref="N88:Q88"/>
    <mergeCell ref="N89:Q89"/>
    <mergeCell ref="L35:P35"/>
    <mergeCell ref="C75:Q75"/>
    <mergeCell ref="F77:P77"/>
    <mergeCell ref="F78:P78"/>
    <mergeCell ref="F79:P79"/>
    <mergeCell ref="M81:P81"/>
    <mergeCell ref="F103:P103"/>
    <mergeCell ref="M105:P105"/>
    <mergeCell ref="M107:Q107"/>
    <mergeCell ref="M108:Q108"/>
    <mergeCell ref="F110:I110"/>
    <mergeCell ref="L110:M110"/>
    <mergeCell ref="N110:Q110"/>
    <mergeCell ref="L114:M114"/>
    <mergeCell ref="N90:Q90"/>
    <mergeCell ref="N91:Q91"/>
    <mergeCell ref="L93:Q93"/>
    <mergeCell ref="C99:Q99"/>
    <mergeCell ref="F101:P101"/>
    <mergeCell ref="F102:P102"/>
    <mergeCell ref="N111:Q111"/>
    <mergeCell ref="N112:Q112"/>
    <mergeCell ref="N113:Q113"/>
    <mergeCell ref="F114:I114"/>
    <mergeCell ref="N114:Q114"/>
    <mergeCell ref="F117:I117"/>
    <mergeCell ref="N115:Q115"/>
    <mergeCell ref="N116:Q116"/>
    <mergeCell ref="L117:M117"/>
    <mergeCell ref="N117:Q117"/>
    <mergeCell ref="N118:Q118"/>
    <mergeCell ref="F119:I119"/>
    <mergeCell ref="L119:M119"/>
    <mergeCell ref="N119:Q119"/>
    <mergeCell ref="N120:Q120"/>
    <mergeCell ref="F121:I121"/>
    <mergeCell ref="N121:Q121"/>
    <mergeCell ref="F123:I123"/>
    <mergeCell ref="L123:M123"/>
    <mergeCell ref="N123:Q123"/>
    <mergeCell ref="L122:M122"/>
    <mergeCell ref="L121:M121"/>
    <mergeCell ref="N122:Q122"/>
    <mergeCell ref="F122:I122"/>
    <mergeCell ref="N134:Q134"/>
    <mergeCell ref="L132:M132"/>
    <mergeCell ref="L130:M130"/>
    <mergeCell ref="N126:Q126"/>
    <mergeCell ref="N127:Q127"/>
    <mergeCell ref="N124:Q124"/>
    <mergeCell ref="F125:I125"/>
    <mergeCell ref="L125:M125"/>
    <mergeCell ref="N125:Q125"/>
    <mergeCell ref="N129:Q129"/>
    <mergeCell ref="F129:I129"/>
    <mergeCell ref="F128:I128"/>
    <mergeCell ref="L128:M128"/>
    <mergeCell ref="N128:Q128"/>
    <mergeCell ref="F139:I139"/>
    <mergeCell ref="F130:I130"/>
    <mergeCell ref="L129:M129"/>
    <mergeCell ref="N135:Q135"/>
    <mergeCell ref="F136:I136"/>
    <mergeCell ref="N136:Q136"/>
    <mergeCell ref="L136:M136"/>
    <mergeCell ref="F133:I133"/>
    <mergeCell ref="N133:Q133"/>
    <mergeCell ref="N130:Q130"/>
    <mergeCell ref="N139:Q139"/>
    <mergeCell ref="N137:Q137"/>
    <mergeCell ref="F138:I138"/>
    <mergeCell ref="N138:Q138"/>
    <mergeCell ref="L138:M138"/>
    <mergeCell ref="L133:M133"/>
    <mergeCell ref="F131:I131"/>
    <mergeCell ref="L131:M131"/>
    <mergeCell ref="N131:Q131"/>
    <mergeCell ref="F132:I132"/>
    <mergeCell ref="N132:Q132"/>
    <mergeCell ref="L139:M139"/>
    <mergeCell ref="L134:M134"/>
    <mergeCell ref="F134:I134"/>
  </mergeCells>
  <hyperlinks>
    <hyperlink ref="F1:G1" location="C2" tooltip="Krycí list rozpočtu" display="1) Krycí list rozpočtu" xr:uid="{00000000-0004-0000-0300-000000000000}"/>
    <hyperlink ref="H1:K1" location="'SO03'!C93" tooltip="Rekapitulace rozpočtu" display="2) Rekapitulace rozpočtu" xr:uid="{00000000-0004-0000-0300-000001000000}"/>
    <hyperlink ref="L1" location="'SO03'!C115" tooltip="Rozpočet" display="3) Rozpočet" xr:uid="{00000000-0004-0000-0300-000002000000}"/>
    <hyperlink ref="S1:T1" location="'Rekapitulace stavby'!C2" tooltip="Rekapitulace stavby" display="Rekapitulace stavby" xr:uid="{00000000-0004-0000-0300-000003000000}"/>
    <hyperlink ref="F1" location="'SO03'!C4" tooltip="Krycí list rozpočtu" display="1) Krycí list rozpočtu" xr:uid="{727FDC2F-9008-4ED2-8FFC-A3677BDB7CA0}"/>
    <hyperlink ref="S1" location="Rekapitulace!C4" tooltip="Rekapitulace stavby" display="Rekapitulace stavby" xr:uid="{702C0B22-D583-4584-85C7-C73FB4E2603B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BL207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L117" sqref="L117:M117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1" width="10.5" style="155" customWidth="1"/>
    <col min="42" max="42" width="10.5" style="155" hidden="1" customWidth="1"/>
    <col min="43" max="43" width="15.83203125" style="155" hidden="1" customWidth="1"/>
    <col min="44" max="53" width="10.5" style="155" hidden="1" customWidth="1"/>
    <col min="54" max="54" width="6.5" style="155" hidden="1" customWidth="1"/>
    <col min="55" max="55" width="11.33203125" style="155" hidden="1" customWidth="1"/>
    <col min="56" max="56" width="5.83203125" style="155" hidden="1" customWidth="1"/>
    <col min="57" max="57" width="8" style="155" hidden="1" customWidth="1"/>
    <col min="58" max="58" width="9.1640625" style="155" hidden="1" customWidth="1"/>
    <col min="59" max="59" width="10.33203125" style="155" hidden="1" customWidth="1"/>
    <col min="60" max="60" width="9.6640625" style="155" hidden="1" customWidth="1"/>
    <col min="61" max="61" width="12.5" style="155" hidden="1" customWidth="1"/>
    <col min="62" max="62" width="11.6640625" style="155" hidden="1" customWidth="1"/>
    <col min="63" max="63" width="16.6640625" style="155" hidden="1" customWidth="1"/>
    <col min="64" max="64" width="6.6640625" style="155" hidden="1" customWidth="1"/>
    <col min="65" max="74" width="0" style="155" hidden="1" customWidth="1"/>
    <col min="75" max="16384" width="10.5" style="155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12" t="s">
        <v>117</v>
      </c>
      <c r="I1" s="312"/>
      <c r="J1" s="312"/>
      <c r="K1" s="312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1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S2" s="256" t="s">
        <v>3</v>
      </c>
      <c r="T2" s="248"/>
      <c r="U2" s="248"/>
      <c r="V2" s="248"/>
      <c r="W2" s="248"/>
      <c r="X2" s="248"/>
      <c r="Y2" s="248"/>
      <c r="Z2" s="248"/>
      <c r="AA2" s="248"/>
      <c r="AB2" s="248"/>
      <c r="AC2" s="248"/>
      <c r="AT2" s="155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55" t="s">
        <v>70</v>
      </c>
    </row>
    <row r="4" spans="2:46" ht="37.5" customHeight="1" x14ac:dyDescent="0.3">
      <c r="B4" s="11"/>
      <c r="C4" s="249" t="s">
        <v>81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12"/>
      <c r="T4" s="13" t="s">
        <v>8</v>
      </c>
      <c r="AT4" s="155" t="s">
        <v>2</v>
      </c>
    </row>
    <row r="5" spans="2:46" ht="7.5" customHeight="1" x14ac:dyDescent="0.3">
      <c r="B5" s="11"/>
      <c r="R5" s="12"/>
    </row>
    <row r="6" spans="2:46" ht="24.95" customHeight="1" x14ac:dyDescent="0.3">
      <c r="B6" s="11"/>
      <c r="D6" s="18" t="s">
        <v>12</v>
      </c>
      <c r="F6" s="306" t="str">
        <f>Rekapitulace!$K$6</f>
        <v>Instalace FVE s akumulací pro vlastní spotřebu elektřiny ve společnosti ČEPRO, a.s. v areálu Mstětice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R6" s="12"/>
    </row>
    <row r="7" spans="2:46" ht="24.95" customHeight="1" x14ac:dyDescent="0.3">
      <c r="B7" s="11"/>
      <c r="D7" s="18" t="s">
        <v>82</v>
      </c>
      <c r="F7" s="306" t="str">
        <f>Rekapitulace!J91</f>
        <v>SO 04 – Komplexní řídicí systém pro řízení spotřeby a akumulaci elektřiny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R7" s="12"/>
    </row>
    <row r="8" spans="2:46" s="154" customFormat="1" ht="33.75" customHeight="1" x14ac:dyDescent="0.3">
      <c r="B8" s="21"/>
      <c r="D8" s="17" t="s">
        <v>83</v>
      </c>
      <c r="F8" s="264" t="str">
        <f>Rekapitulace!J91</f>
        <v>SO 04 – Komplexní řídicí systém pro řízení spotřeby a akumulaci elektřiny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R8" s="22"/>
    </row>
    <row r="9" spans="2:46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46" s="154" customFormat="1" ht="15" customHeight="1" x14ac:dyDescent="0.3">
      <c r="B10" s="21"/>
      <c r="D10" s="18" t="s">
        <v>15</v>
      </c>
      <c r="F10" s="253" t="str">
        <f>Rekapitulace!L80</f>
        <v>Areál skladu ČEPRO, a.s.; Mstětice 3, 250 91 Zeleneč</v>
      </c>
      <c r="G10" s="253"/>
      <c r="H10" s="253"/>
      <c r="I10" s="253"/>
      <c r="J10" s="253"/>
      <c r="K10" s="253"/>
      <c r="L10" s="253"/>
      <c r="M10" s="18" t="s">
        <v>16</v>
      </c>
      <c r="O10" s="322">
        <f>Rekapitulace!$AN$8</f>
        <v>44105</v>
      </c>
      <c r="P10" s="322"/>
      <c r="R10" s="22"/>
    </row>
    <row r="11" spans="2:46" s="154" customFormat="1" ht="12" customHeight="1" x14ac:dyDescent="0.3">
      <c r="B11" s="21"/>
      <c r="R11" s="22"/>
    </row>
    <row r="12" spans="2:46" s="154" customFormat="1" ht="15" customHeight="1" x14ac:dyDescent="0.3">
      <c r="B12" s="21"/>
      <c r="D12" s="18" t="s">
        <v>17</v>
      </c>
      <c r="M12" s="18" t="s">
        <v>18</v>
      </c>
      <c r="O12" s="253">
        <f>IF(Rekapitulace!$AN$10="","",Rekapitulace!$AN$10)</f>
        <v>60193531</v>
      </c>
      <c r="P12" s="254"/>
      <c r="R12" s="22"/>
    </row>
    <row r="13" spans="2:46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53" t="str">
        <f>IF(Rekapitulace!$AN$11="","",Rekapitulace!$AN$11)</f>
        <v>CZ60193531</v>
      </c>
      <c r="P13" s="254"/>
      <c r="R13" s="22"/>
    </row>
    <row r="14" spans="2:46" s="154" customFormat="1" ht="7.5" customHeight="1" x14ac:dyDescent="0.3">
      <c r="B14" s="21"/>
      <c r="R14" s="22"/>
    </row>
    <row r="15" spans="2:46" s="154" customFormat="1" ht="15" customHeight="1" x14ac:dyDescent="0.3">
      <c r="B15" s="21"/>
      <c r="D15" s="18" t="s">
        <v>20</v>
      </c>
      <c r="M15" s="18" t="s">
        <v>18</v>
      </c>
      <c r="O15" s="316" t="str">
        <f>IF(Rekapitulace!$AN$13="","",Rekapitulace!$AN$13)</f>
        <v>Vyplň údaj</v>
      </c>
      <c r="P15" s="285"/>
      <c r="R15" s="204"/>
    </row>
    <row r="16" spans="2:46" s="154" customFormat="1" ht="18.75" customHeight="1" x14ac:dyDescent="0.3">
      <c r="B16" s="21"/>
      <c r="E16" s="316" t="str">
        <f>IF(Rekapitulace!$E$14="","",Rekapitulace!$E$14)</f>
        <v>Vyplň údaj</v>
      </c>
      <c r="F16" s="285"/>
      <c r="G16" s="285"/>
      <c r="H16" s="285"/>
      <c r="I16" s="285"/>
      <c r="J16" s="285"/>
      <c r="K16" s="285"/>
      <c r="L16" s="285"/>
      <c r="M16" s="18" t="s">
        <v>19</v>
      </c>
      <c r="O16" s="316" t="str">
        <f>IF(Rekapitulace!$AN$14="","",Rekapitulace!$AN$14)</f>
        <v>Vyplň údaj</v>
      </c>
      <c r="P16" s="285"/>
      <c r="R16" s="204"/>
    </row>
    <row r="17" spans="2:18" s="154" customFormat="1" ht="7.5" customHeight="1" x14ac:dyDescent="0.3">
      <c r="B17" s="21"/>
      <c r="R17" s="204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53" t="str">
        <f>IF(Rekapitulace!$AN$16="","",Rekapitulace!$AN$16)</f>
        <v>04083351</v>
      </c>
      <c r="P18" s="254"/>
      <c r="R18" s="204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53" t="str">
        <f>IF(Rekapitulace!$AN$17="","",Rekapitulace!$AN$17)</f>
        <v>CZ04083351</v>
      </c>
      <c r="P19" s="254"/>
      <c r="R19" s="204"/>
    </row>
    <row r="20" spans="2:18" s="154" customFormat="1" ht="7.5" customHeight="1" x14ac:dyDescent="0.3">
      <c r="B20" s="21"/>
      <c r="R20" s="204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53" t="str">
        <f>IF(Rekapitulace!$AN$19="","",Rekapitulace!$AN$19)</f>
        <v>04083351</v>
      </c>
      <c r="P21" s="254"/>
      <c r="R21" s="204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53" t="str">
        <f>IF(Rekapitulace!$AN$20="","",Rekapitulace!$AN$20)</f>
        <v>CZ04083351</v>
      </c>
      <c r="P22" s="254"/>
      <c r="R22" s="204"/>
    </row>
    <row r="23" spans="2:18" s="154" customFormat="1" ht="7.5" customHeight="1" x14ac:dyDescent="0.3">
      <c r="B23" s="21"/>
      <c r="R23" s="204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04"/>
    </row>
    <row r="25" spans="2:18" s="154" customFormat="1" ht="15" customHeight="1" x14ac:dyDescent="0.3">
      <c r="B25" s="21"/>
      <c r="D25" s="76" t="s">
        <v>84</v>
      </c>
      <c r="M25" s="252">
        <f>$N$88</f>
        <v>0</v>
      </c>
      <c r="N25" s="254"/>
      <c r="O25" s="254"/>
      <c r="P25" s="254"/>
      <c r="R25" s="204"/>
    </row>
    <row r="26" spans="2:18" s="154" customFormat="1" ht="7.5" customHeight="1" x14ac:dyDescent="0.3">
      <c r="B26" s="21"/>
      <c r="R26" s="204"/>
    </row>
    <row r="27" spans="2:18" s="154" customFormat="1" ht="26.25" customHeight="1" x14ac:dyDescent="0.3">
      <c r="B27" s="21"/>
      <c r="D27" s="96" t="s">
        <v>26</v>
      </c>
      <c r="M27" s="320">
        <f>ROUND($M$25,2)</f>
        <v>0</v>
      </c>
      <c r="N27" s="254"/>
      <c r="O27" s="254"/>
      <c r="P27" s="254"/>
      <c r="R27" s="204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04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05">
        <f>M27</f>
        <v>0</v>
      </c>
      <c r="I29" s="254"/>
      <c r="J29" s="254"/>
      <c r="M29" s="305">
        <f>(H29)*$F$29</f>
        <v>0</v>
      </c>
      <c r="N29" s="254"/>
      <c r="O29" s="254"/>
      <c r="P29" s="254"/>
      <c r="R29" s="204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05">
        <f>(SUM($BF$90:$BF$90)+SUM($BF$109:$BF$170))</f>
        <v>0</v>
      </c>
      <c r="I30" s="254"/>
      <c r="J30" s="254"/>
      <c r="M30" s="305">
        <f>(SUM($BF$90:$BF$90)+SUM($BF$109:$BF$170))*$F$30</f>
        <v>0</v>
      </c>
      <c r="N30" s="254"/>
      <c r="O30" s="254"/>
      <c r="P30" s="254"/>
      <c r="R30" s="204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05">
        <f>(SUM($BG$90:$BG$90)+SUM($BG$109:$BG$170))</f>
        <v>0</v>
      </c>
      <c r="I31" s="254"/>
      <c r="J31" s="254"/>
      <c r="M31" s="305">
        <v>0</v>
      </c>
      <c r="N31" s="254"/>
      <c r="O31" s="254"/>
      <c r="P31" s="254"/>
      <c r="R31" s="204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05">
        <f>(SUM($BH$90:$BH$90)+SUM($BH$109:$BH$170))</f>
        <v>0</v>
      </c>
      <c r="I32" s="254"/>
      <c r="J32" s="254"/>
      <c r="M32" s="305">
        <v>0</v>
      </c>
      <c r="N32" s="254"/>
      <c r="O32" s="254"/>
      <c r="P32" s="254"/>
      <c r="R32" s="204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05">
        <f>(SUM($BI$90:$BI$90)+SUM($BI$109:$BI$170))</f>
        <v>0</v>
      </c>
      <c r="I33" s="254"/>
      <c r="J33" s="254"/>
      <c r="M33" s="305">
        <v>0</v>
      </c>
      <c r="N33" s="254"/>
      <c r="O33" s="254"/>
      <c r="P33" s="254"/>
      <c r="R33" s="204"/>
    </row>
    <row r="34" spans="2:18" s="154" customFormat="1" ht="7.5" customHeight="1" x14ac:dyDescent="0.3">
      <c r="B34" s="21"/>
      <c r="R34" s="204"/>
    </row>
    <row r="35" spans="2:18" s="154" customFormat="1" ht="26.25" customHeight="1" x14ac:dyDescent="0.3">
      <c r="B35" s="21"/>
      <c r="C35" s="160"/>
      <c r="D35" s="31" t="s">
        <v>34</v>
      </c>
      <c r="E35" s="157"/>
      <c r="F35" s="157"/>
      <c r="G35" s="98" t="s">
        <v>35</v>
      </c>
      <c r="H35" s="33" t="s">
        <v>36</v>
      </c>
      <c r="I35" s="157"/>
      <c r="J35" s="157"/>
      <c r="K35" s="157"/>
      <c r="L35" s="267">
        <f>ROUND(SUM($M$27:$M$33),2)</f>
        <v>0</v>
      </c>
      <c r="M35" s="266"/>
      <c r="N35" s="266"/>
      <c r="O35" s="266"/>
      <c r="P35" s="268"/>
      <c r="Q35" s="160"/>
      <c r="R35" s="204"/>
    </row>
    <row r="36" spans="2:18" s="154" customFormat="1" ht="15" customHeight="1" x14ac:dyDescent="0.3">
      <c r="B36" s="21"/>
      <c r="R36" s="204"/>
    </row>
    <row r="37" spans="2:18" s="154" customFormat="1" ht="15" customHeight="1" x14ac:dyDescent="0.3">
      <c r="B37" s="21"/>
      <c r="R37" s="204"/>
    </row>
    <row r="38" spans="2:18" ht="14.25" customHeight="1" x14ac:dyDescent="0.3">
      <c r="B38" s="11"/>
      <c r="R38" s="209"/>
    </row>
    <row r="39" spans="2:18" ht="14.25" customHeight="1" x14ac:dyDescent="0.3">
      <c r="B39" s="11"/>
      <c r="R39" s="209"/>
    </row>
    <row r="40" spans="2:18" ht="14.25" customHeight="1" x14ac:dyDescent="0.3">
      <c r="B40" s="11"/>
      <c r="R40" s="209"/>
    </row>
    <row r="41" spans="2:18" ht="14.25" customHeight="1" x14ac:dyDescent="0.3">
      <c r="B41" s="11"/>
      <c r="R41" s="209"/>
    </row>
    <row r="42" spans="2:18" ht="14.25" customHeight="1" x14ac:dyDescent="0.3">
      <c r="B42" s="11"/>
      <c r="R42" s="209"/>
    </row>
    <row r="43" spans="2:18" ht="14.25" customHeight="1" x14ac:dyDescent="0.3">
      <c r="B43" s="11"/>
      <c r="R43" s="209"/>
    </row>
    <row r="44" spans="2:18" ht="14.25" customHeight="1" x14ac:dyDescent="0.3">
      <c r="B44" s="11"/>
      <c r="R44" s="209"/>
    </row>
    <row r="45" spans="2:18" ht="14.25" customHeight="1" x14ac:dyDescent="0.3">
      <c r="B45" s="11"/>
      <c r="R45" s="209"/>
    </row>
    <row r="46" spans="2:18" ht="14.25" customHeight="1" x14ac:dyDescent="0.3">
      <c r="B46" s="11"/>
      <c r="R46" s="209"/>
    </row>
    <row r="47" spans="2:18" ht="14.25" customHeight="1" x14ac:dyDescent="0.3">
      <c r="B47" s="11"/>
      <c r="R47" s="209"/>
    </row>
    <row r="48" spans="2:18" ht="14.25" customHeight="1" x14ac:dyDescent="0.3">
      <c r="B48" s="11"/>
      <c r="R48" s="209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04"/>
    </row>
    <row r="50" spans="2:18" ht="14.25" customHeight="1" x14ac:dyDescent="0.3">
      <c r="B50" s="11"/>
      <c r="D50" s="37"/>
      <c r="H50" s="38"/>
      <c r="J50" s="37"/>
      <c r="P50" s="38"/>
      <c r="R50" s="209"/>
    </row>
    <row r="51" spans="2:18" ht="14.25" customHeight="1" x14ac:dyDescent="0.3">
      <c r="B51" s="11"/>
      <c r="D51" s="37"/>
      <c r="H51" s="38"/>
      <c r="J51" s="37"/>
      <c r="P51" s="38"/>
      <c r="R51" s="209"/>
    </row>
    <row r="52" spans="2:18" ht="14.25" customHeight="1" x14ac:dyDescent="0.3">
      <c r="B52" s="11"/>
      <c r="D52" s="37"/>
      <c r="H52" s="38"/>
      <c r="J52" s="37"/>
      <c r="P52" s="38"/>
      <c r="R52" s="209"/>
    </row>
    <row r="53" spans="2:18" ht="14.25" customHeight="1" x14ac:dyDescent="0.3">
      <c r="B53" s="11"/>
      <c r="D53" s="37"/>
      <c r="H53" s="38"/>
      <c r="J53" s="37"/>
      <c r="P53" s="38"/>
      <c r="R53" s="209"/>
    </row>
    <row r="54" spans="2:18" ht="14.25" customHeight="1" x14ac:dyDescent="0.3">
      <c r="B54" s="11"/>
      <c r="D54" s="37"/>
      <c r="H54" s="38"/>
      <c r="J54" s="37"/>
      <c r="P54" s="38"/>
      <c r="R54" s="209"/>
    </row>
    <row r="55" spans="2:18" ht="14.25" customHeight="1" x14ac:dyDescent="0.3">
      <c r="B55" s="11"/>
      <c r="D55" s="37"/>
      <c r="H55" s="38"/>
      <c r="J55" s="37"/>
      <c r="P55" s="38"/>
      <c r="R55" s="209"/>
    </row>
    <row r="56" spans="2:18" ht="14.25" customHeight="1" x14ac:dyDescent="0.3">
      <c r="B56" s="11"/>
      <c r="D56" s="37"/>
      <c r="H56" s="38"/>
      <c r="J56" s="37"/>
      <c r="P56" s="38"/>
      <c r="R56" s="209"/>
    </row>
    <row r="57" spans="2:18" ht="14.25" customHeight="1" x14ac:dyDescent="0.3">
      <c r="B57" s="11"/>
      <c r="D57" s="37"/>
      <c r="H57" s="38"/>
      <c r="J57" s="37"/>
      <c r="P57" s="38"/>
      <c r="R57" s="209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04"/>
    </row>
    <row r="59" spans="2:18" ht="14.25" customHeight="1" x14ac:dyDescent="0.3">
      <c r="B59" s="11"/>
      <c r="R59" s="209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04"/>
    </row>
    <row r="61" spans="2:18" ht="14.25" customHeight="1" x14ac:dyDescent="0.3">
      <c r="B61" s="11"/>
      <c r="D61" s="37"/>
      <c r="H61" s="38"/>
      <c r="J61" s="37"/>
      <c r="P61" s="38"/>
      <c r="R61" s="209"/>
    </row>
    <row r="62" spans="2:18" ht="14.25" customHeight="1" x14ac:dyDescent="0.3">
      <c r="B62" s="11"/>
      <c r="D62" s="37"/>
      <c r="H62" s="38"/>
      <c r="J62" s="37"/>
      <c r="P62" s="38"/>
      <c r="R62" s="209"/>
    </row>
    <row r="63" spans="2:18" ht="14.25" customHeight="1" x14ac:dyDescent="0.3">
      <c r="B63" s="11"/>
      <c r="D63" s="37"/>
      <c r="H63" s="38"/>
      <c r="J63" s="37"/>
      <c r="P63" s="38"/>
      <c r="R63" s="209"/>
    </row>
    <row r="64" spans="2:18" ht="14.25" customHeight="1" x14ac:dyDescent="0.3">
      <c r="B64" s="11"/>
      <c r="D64" s="37"/>
      <c r="H64" s="38"/>
      <c r="J64" s="37"/>
      <c r="P64" s="38"/>
      <c r="R64" s="209"/>
    </row>
    <row r="65" spans="2:18" ht="14.25" customHeight="1" x14ac:dyDescent="0.3">
      <c r="B65" s="11"/>
      <c r="D65" s="37"/>
      <c r="H65" s="38"/>
      <c r="J65" s="37"/>
      <c r="P65" s="38"/>
      <c r="R65" s="209"/>
    </row>
    <row r="66" spans="2:18" ht="14.25" customHeight="1" x14ac:dyDescent="0.3">
      <c r="B66" s="11"/>
      <c r="D66" s="37"/>
      <c r="H66" s="38"/>
      <c r="J66" s="37"/>
      <c r="P66" s="38"/>
      <c r="R66" s="209"/>
    </row>
    <row r="67" spans="2:18" ht="14.25" customHeight="1" x14ac:dyDescent="0.3">
      <c r="B67" s="11"/>
      <c r="D67" s="37"/>
      <c r="H67" s="38"/>
      <c r="J67" s="37"/>
      <c r="P67" s="38"/>
      <c r="R67" s="209"/>
    </row>
    <row r="68" spans="2:18" ht="14.25" customHeight="1" x14ac:dyDescent="0.3">
      <c r="B68" s="11"/>
      <c r="D68" s="37"/>
      <c r="H68" s="38"/>
      <c r="J68" s="37"/>
      <c r="P68" s="38"/>
      <c r="R68" s="209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04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239"/>
    </row>
    <row r="71" spans="2:18" ht="14.25" customHeight="1" x14ac:dyDescent="0.3">
      <c r="R71" s="209"/>
    </row>
    <row r="72" spans="2:18" ht="14.25" customHeight="1" x14ac:dyDescent="0.3">
      <c r="R72" s="209"/>
    </row>
    <row r="73" spans="2:18" ht="14.25" customHeight="1" x14ac:dyDescent="0.3">
      <c r="R73" s="209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240"/>
    </row>
    <row r="75" spans="2:18" s="154" customFormat="1" ht="37.5" customHeight="1" x14ac:dyDescent="0.3">
      <c r="B75" s="21"/>
      <c r="C75" s="249" t="s">
        <v>85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04"/>
    </row>
    <row r="76" spans="2:18" s="154" customFormat="1" ht="7.5" customHeight="1" x14ac:dyDescent="0.3">
      <c r="B76" s="21"/>
      <c r="R76" s="204"/>
    </row>
    <row r="77" spans="2:18" s="154" customFormat="1" ht="24.95" customHeight="1" x14ac:dyDescent="0.3">
      <c r="B77" s="21"/>
      <c r="C77" s="18" t="s">
        <v>12</v>
      </c>
      <c r="F77" s="306" t="str">
        <f>$F$6</f>
        <v>Instalace FVE s akumulací pro vlastní spotřebu elektřiny ve společnosti ČEPRO, a.s. v areálu Mstětice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R77" s="204"/>
    </row>
    <row r="78" spans="2:18" ht="24.95" customHeight="1" x14ac:dyDescent="0.3">
      <c r="B78" s="11"/>
      <c r="C78" s="18" t="s">
        <v>82</v>
      </c>
      <c r="F78" s="306" t="str">
        <f>F7</f>
        <v>SO 04 – Komplexní řídicí systém pro řízení spotřeby a akumulaci elektřiny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R78" s="209"/>
    </row>
    <row r="79" spans="2:18" s="154" customFormat="1" ht="37.5" customHeight="1" x14ac:dyDescent="0.3">
      <c r="B79" s="21"/>
      <c r="C79" s="51" t="s">
        <v>83</v>
      </c>
      <c r="F79" s="269" t="str">
        <f>F8</f>
        <v>SO 04 – Komplexní řídicí systém pro řízení spotřeby a akumulaci elektřiny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R79" s="204"/>
    </row>
    <row r="80" spans="2:18" s="154" customFormat="1" ht="7.5" customHeight="1" x14ac:dyDescent="0.3">
      <c r="B80" s="21"/>
      <c r="R80" s="204"/>
    </row>
    <row r="81" spans="2:47" s="154" customFormat="1" ht="18.75" customHeight="1" x14ac:dyDescent="0.3">
      <c r="B81" s="21"/>
      <c r="C81" s="18" t="s">
        <v>15</v>
      </c>
      <c r="F81" s="156" t="str">
        <f>$F$10</f>
        <v>Areál skladu ČEPRO, a.s.; Mstětice 3, 250 91 Zeleneč</v>
      </c>
      <c r="L81" s="18" t="s">
        <v>16</v>
      </c>
      <c r="M81" s="270">
        <f>IF($O$10="","",$O$10)</f>
        <v>44105</v>
      </c>
      <c r="N81" s="254"/>
      <c r="O81" s="254"/>
      <c r="P81" s="254"/>
      <c r="R81" s="204"/>
    </row>
    <row r="82" spans="2:47" s="154" customFormat="1" ht="7.5" customHeight="1" x14ac:dyDescent="0.3">
      <c r="B82" s="21"/>
      <c r="R82" s="204"/>
    </row>
    <row r="83" spans="2:47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53" t="str">
        <f>$E$19</f>
        <v>YOUNG4ENERGY s.r.o.</v>
      </c>
      <c r="N83" s="254"/>
      <c r="O83" s="254"/>
      <c r="P83" s="254"/>
      <c r="Q83" s="254"/>
      <c r="R83" s="204"/>
    </row>
    <row r="84" spans="2:47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53" t="str">
        <f>$E$22</f>
        <v>YOUNG4ENERGY s.r.o.</v>
      </c>
      <c r="N84" s="254"/>
      <c r="O84" s="254"/>
      <c r="P84" s="254"/>
      <c r="Q84" s="254"/>
      <c r="R84" s="204"/>
    </row>
    <row r="85" spans="2:47" s="154" customFormat="1" ht="11.25" customHeight="1" x14ac:dyDescent="0.3">
      <c r="B85" s="21"/>
      <c r="R85" s="204"/>
    </row>
    <row r="86" spans="2:47" s="154" customFormat="1" ht="30" customHeight="1" x14ac:dyDescent="0.3">
      <c r="B86" s="21"/>
      <c r="C86" s="315" t="s">
        <v>86</v>
      </c>
      <c r="D86" s="287"/>
      <c r="E86" s="287"/>
      <c r="F86" s="287"/>
      <c r="G86" s="287"/>
      <c r="H86" s="160"/>
      <c r="I86" s="160"/>
      <c r="J86" s="160"/>
      <c r="K86" s="160"/>
      <c r="L86" s="160"/>
      <c r="M86" s="160"/>
      <c r="N86" s="315" t="s">
        <v>87</v>
      </c>
      <c r="O86" s="254"/>
      <c r="P86" s="254"/>
      <c r="Q86" s="254"/>
      <c r="R86" s="204"/>
    </row>
    <row r="87" spans="2:47" s="154" customFormat="1" ht="11.25" customHeight="1" x14ac:dyDescent="0.3">
      <c r="B87" s="21"/>
      <c r="R87" s="204"/>
    </row>
    <row r="88" spans="2:47" s="154" customFormat="1" ht="30" customHeight="1" x14ac:dyDescent="0.3">
      <c r="B88" s="21"/>
      <c r="C88" s="159" t="s">
        <v>88</v>
      </c>
      <c r="N88" s="276">
        <f>ROUND($N$109,2)</f>
        <v>0</v>
      </c>
      <c r="O88" s="254"/>
      <c r="P88" s="254"/>
      <c r="Q88" s="254"/>
      <c r="R88" s="204"/>
      <c r="AU88" s="154" t="s">
        <v>89</v>
      </c>
    </row>
    <row r="89" spans="2:47" s="64" customFormat="1" ht="20.100000000000001" customHeight="1" x14ac:dyDescent="0.35">
      <c r="B89" s="99"/>
      <c r="D89" s="113" t="str">
        <f>D110</f>
        <v>Komplexní řídicí systém pro řízení spotřeby a akumulaci elektřiny</v>
      </c>
      <c r="N89" s="310">
        <f>ROUND($N$110,2)</f>
        <v>0</v>
      </c>
      <c r="O89" s="311"/>
      <c r="P89" s="311"/>
      <c r="Q89" s="311"/>
      <c r="R89" s="241"/>
    </row>
    <row r="90" spans="2:47" s="154" customFormat="1" ht="12" customHeight="1" x14ac:dyDescent="0.3">
      <c r="B90" s="21"/>
      <c r="R90" s="204"/>
    </row>
    <row r="91" spans="2:47" s="154" customFormat="1" ht="30" customHeight="1" x14ac:dyDescent="0.3">
      <c r="B91" s="21"/>
      <c r="C91" s="94" t="s">
        <v>141</v>
      </c>
      <c r="D91" s="160"/>
      <c r="E91" s="160"/>
      <c r="F91" s="160"/>
      <c r="G91" s="160"/>
      <c r="H91" s="160"/>
      <c r="I91" s="160"/>
      <c r="J91" s="160"/>
      <c r="K91" s="160"/>
      <c r="L91" s="286">
        <f>ROUND(SUM($N$89:$Q$89),2)</f>
        <v>0</v>
      </c>
      <c r="M91" s="287"/>
      <c r="N91" s="287"/>
      <c r="O91" s="287"/>
      <c r="P91" s="287"/>
      <c r="Q91" s="287"/>
      <c r="R91" s="204"/>
    </row>
    <row r="92" spans="2:47" s="154" customFormat="1" ht="7.5" customHeight="1" x14ac:dyDescent="0.3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239"/>
    </row>
    <row r="93" spans="2:47" ht="14.25" customHeight="1" x14ac:dyDescent="0.3">
      <c r="R93" s="209"/>
    </row>
    <row r="94" spans="2:47" ht="14.25" customHeight="1" x14ac:dyDescent="0.3">
      <c r="R94" s="209"/>
    </row>
    <row r="95" spans="2:47" ht="14.25" customHeight="1" x14ac:dyDescent="0.3">
      <c r="R95" s="209"/>
    </row>
    <row r="96" spans="2:47" s="154" customFormat="1" ht="7.5" customHeight="1" x14ac:dyDescent="0.3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2"/>
    </row>
    <row r="97" spans="2:64" s="154" customFormat="1" ht="37.5" customHeight="1" x14ac:dyDescent="0.3">
      <c r="B97" s="203"/>
      <c r="C97" s="338" t="s">
        <v>90</v>
      </c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204"/>
    </row>
    <row r="98" spans="2:64" s="154" customFormat="1" ht="7.5" customHeight="1" x14ac:dyDescent="0.3">
      <c r="B98" s="203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4"/>
    </row>
    <row r="99" spans="2:64" s="154" customFormat="1" ht="24.95" customHeight="1" x14ac:dyDescent="0.3">
      <c r="B99" s="203"/>
      <c r="C99" s="206" t="s">
        <v>12</v>
      </c>
      <c r="D99" s="205"/>
      <c r="E99" s="205"/>
      <c r="F99" s="339" t="str">
        <f>$F$6</f>
        <v>Instalace FVE s akumulací pro vlastní spotřebu elektřiny ve společnosti ČEPRO, a.s. v areálu Mstětice</v>
      </c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205"/>
      <c r="R99" s="204"/>
    </row>
    <row r="100" spans="2:64" ht="24.95" customHeight="1" x14ac:dyDescent="0.3">
      <c r="B100" s="207"/>
      <c r="C100" s="206" t="s">
        <v>82</v>
      </c>
      <c r="D100" s="208"/>
      <c r="E100" s="208"/>
      <c r="F100" s="339" t="str">
        <f>F7</f>
        <v>SO 04 – Komplexní řídicí systém pro řízení spotřeby a akumulaci elektřiny</v>
      </c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208"/>
      <c r="R100" s="209"/>
    </row>
    <row r="101" spans="2:64" s="154" customFormat="1" ht="37.5" customHeight="1" x14ac:dyDescent="0.3">
      <c r="B101" s="203"/>
      <c r="C101" s="210" t="s">
        <v>83</v>
      </c>
      <c r="D101" s="205"/>
      <c r="E101" s="205"/>
      <c r="F101" s="334" t="str">
        <f>F8</f>
        <v>SO 04 – Komplexní řídicí systém pro řízení spotřeby a akumulaci elektřiny</v>
      </c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205"/>
      <c r="R101" s="204"/>
    </row>
    <row r="102" spans="2:64" s="154" customFormat="1" ht="7.5" customHeight="1" x14ac:dyDescent="0.3">
      <c r="B102" s="203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4"/>
    </row>
    <row r="103" spans="2:64" s="154" customFormat="1" ht="18.75" customHeight="1" x14ac:dyDescent="0.3">
      <c r="B103" s="203"/>
      <c r="C103" s="206" t="s">
        <v>15</v>
      </c>
      <c r="D103" s="205"/>
      <c r="E103" s="205"/>
      <c r="F103" s="211" t="str">
        <f>$F$10</f>
        <v>Areál skladu ČEPRO, a.s.; Mstětice 3, 250 91 Zeleneč</v>
      </c>
      <c r="G103" s="205"/>
      <c r="H103" s="205"/>
      <c r="I103" s="205"/>
      <c r="J103" s="205"/>
      <c r="K103" s="205"/>
      <c r="L103" s="206" t="s">
        <v>16</v>
      </c>
      <c r="M103" s="336">
        <f>IF($O$10="","",$O$10)</f>
        <v>44105</v>
      </c>
      <c r="N103" s="335"/>
      <c r="O103" s="335"/>
      <c r="P103" s="335"/>
      <c r="Q103" s="205"/>
      <c r="R103" s="204"/>
    </row>
    <row r="104" spans="2:64" s="154" customFormat="1" ht="7.5" customHeight="1" x14ac:dyDescent="0.3">
      <c r="B104" s="203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4"/>
    </row>
    <row r="105" spans="2:64" s="154" customFormat="1" ht="15.75" customHeight="1" x14ac:dyDescent="0.3">
      <c r="B105" s="203"/>
      <c r="C105" s="206" t="s">
        <v>17</v>
      </c>
      <c r="D105" s="205"/>
      <c r="E105" s="205"/>
      <c r="F105" s="211" t="str">
        <f>$E$13</f>
        <v>ČEPRO, a.s., Dělnická 213/12, Holešovice, 170 00 Praha 7</v>
      </c>
      <c r="G105" s="205"/>
      <c r="H105" s="205"/>
      <c r="I105" s="205"/>
      <c r="J105" s="205"/>
      <c r="K105" s="205"/>
      <c r="L105" s="206" t="s">
        <v>22</v>
      </c>
      <c r="M105" s="337" t="str">
        <f>$E$19</f>
        <v>YOUNG4ENERGY s.r.o.</v>
      </c>
      <c r="N105" s="335"/>
      <c r="O105" s="335"/>
      <c r="P105" s="335"/>
      <c r="Q105" s="335"/>
      <c r="R105" s="204"/>
    </row>
    <row r="106" spans="2:64" s="154" customFormat="1" ht="15" customHeight="1" x14ac:dyDescent="0.3">
      <c r="B106" s="203"/>
      <c r="C106" s="206" t="s">
        <v>20</v>
      </c>
      <c r="D106" s="205"/>
      <c r="E106" s="205"/>
      <c r="F106" s="211" t="str">
        <f>IF($E$16="","",$E$16)</f>
        <v>Vyplň údaj</v>
      </c>
      <c r="G106" s="205"/>
      <c r="H106" s="205"/>
      <c r="I106" s="205"/>
      <c r="J106" s="205"/>
      <c r="K106" s="205"/>
      <c r="L106" s="206" t="s">
        <v>23</v>
      </c>
      <c r="M106" s="337" t="str">
        <f>$E$22</f>
        <v>YOUNG4ENERGY s.r.o.</v>
      </c>
      <c r="N106" s="335"/>
      <c r="O106" s="335"/>
      <c r="P106" s="335"/>
      <c r="Q106" s="335"/>
      <c r="R106" s="204"/>
    </row>
    <row r="107" spans="2:64" s="154" customFormat="1" ht="11.25" customHeight="1" x14ac:dyDescent="0.3">
      <c r="B107" s="203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4"/>
    </row>
    <row r="108" spans="2:64" s="107" customFormat="1" ht="30" customHeight="1" x14ac:dyDescent="0.3">
      <c r="B108" s="212"/>
      <c r="C108" s="104" t="s">
        <v>91</v>
      </c>
      <c r="D108" s="198" t="s">
        <v>92</v>
      </c>
      <c r="E108" s="198" t="s">
        <v>45</v>
      </c>
      <c r="F108" s="317" t="s">
        <v>93</v>
      </c>
      <c r="G108" s="318"/>
      <c r="H108" s="318"/>
      <c r="I108" s="318"/>
      <c r="J108" s="198" t="s">
        <v>94</v>
      </c>
      <c r="K108" s="198" t="s">
        <v>95</v>
      </c>
      <c r="L108" s="317" t="s">
        <v>96</v>
      </c>
      <c r="M108" s="318"/>
      <c r="N108" s="317" t="s">
        <v>97</v>
      </c>
      <c r="O108" s="318"/>
      <c r="P108" s="318"/>
      <c r="Q108" s="319"/>
      <c r="R108" s="213"/>
      <c r="T108" s="55" t="s">
        <v>98</v>
      </c>
      <c r="U108" s="56" t="s">
        <v>27</v>
      </c>
      <c r="V108" s="56" t="s">
        <v>99</v>
      </c>
      <c r="W108" s="56" t="s">
        <v>100</v>
      </c>
      <c r="X108" s="56" t="s">
        <v>101</v>
      </c>
      <c r="Y108" s="56" t="s">
        <v>102</v>
      </c>
      <c r="Z108" s="56" t="s">
        <v>103</v>
      </c>
      <c r="AA108" s="57" t="s">
        <v>104</v>
      </c>
    </row>
    <row r="109" spans="2:64" s="154" customFormat="1" ht="30" customHeight="1" x14ac:dyDescent="0.3">
      <c r="B109" s="203"/>
      <c r="C109" s="214" t="s">
        <v>84</v>
      </c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341">
        <f>N110</f>
        <v>0</v>
      </c>
      <c r="O109" s="335"/>
      <c r="P109" s="335"/>
      <c r="Q109" s="335"/>
      <c r="R109" s="204"/>
      <c r="T109" s="58"/>
      <c r="U109" s="35"/>
      <c r="V109" s="35"/>
      <c r="W109" s="108" t="e">
        <f>$W$110+#REF!+#REF!</f>
        <v>#REF!</v>
      </c>
      <c r="X109" s="35"/>
      <c r="Y109" s="108" t="e">
        <f>$Y$110+#REF!+#REF!</f>
        <v>#REF!</v>
      </c>
      <c r="Z109" s="35"/>
      <c r="AA109" s="109" t="e">
        <f>$AA$110+#REF!+#REF!</f>
        <v>#REF!</v>
      </c>
      <c r="AT109" s="154" t="s">
        <v>62</v>
      </c>
      <c r="AU109" s="154" t="s">
        <v>89</v>
      </c>
      <c r="BK109" s="110" t="e">
        <f>$BK$110+#REF!+#REF!</f>
        <v>#REF!</v>
      </c>
    </row>
    <row r="110" spans="2:64" s="141" customFormat="1" ht="24.95" customHeight="1" x14ac:dyDescent="0.35">
      <c r="B110" s="215"/>
      <c r="D110" s="113" t="s">
        <v>378</v>
      </c>
      <c r="E110" s="113"/>
      <c r="F110" s="113"/>
      <c r="G110" s="113"/>
      <c r="H110" s="113"/>
      <c r="I110" s="113"/>
      <c r="J110" s="113"/>
      <c r="K110" s="113"/>
      <c r="L110" s="113"/>
      <c r="M110" s="113"/>
      <c r="N110" s="314">
        <f>N111+N138+N144+N149+N205</f>
        <v>0</v>
      </c>
      <c r="O110" s="345"/>
      <c r="P110" s="345"/>
      <c r="Q110" s="345"/>
      <c r="R110" s="218"/>
      <c r="T110" s="143"/>
      <c r="W110" s="144" t="e">
        <f>$W$111+#REF!+$W$123+#REF!+#REF!+#REF!</f>
        <v>#REF!</v>
      </c>
      <c r="Y110" s="144" t="e">
        <f>$Y$111+#REF!+$Y$123+#REF!+#REF!+#REF!</f>
        <v>#REF!</v>
      </c>
      <c r="AA110" s="145" t="e">
        <f>$AA$111+#REF!+$AA$123+#REF!+#REF!+#REF!</f>
        <v>#REF!</v>
      </c>
      <c r="AR110" s="161" t="s">
        <v>70</v>
      </c>
      <c r="AT110" s="161" t="s">
        <v>62</v>
      </c>
      <c r="AU110" s="161" t="s">
        <v>63</v>
      </c>
      <c r="AY110" s="161" t="s">
        <v>105</v>
      </c>
      <c r="BK110" s="146" t="e">
        <f>$BK$111+#REF!+$BK$123+#REF!+#REF!+#REF!</f>
        <v>#REF!</v>
      </c>
    </row>
    <row r="111" spans="2:64" s="141" customFormat="1" ht="20.100000000000001" customHeight="1" x14ac:dyDescent="0.3">
      <c r="B111" s="215"/>
      <c r="D111" s="138" t="s">
        <v>379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297">
        <f>SUM(N112:Q137)</f>
        <v>0</v>
      </c>
      <c r="O111" s="298"/>
      <c r="P111" s="298"/>
      <c r="Q111" s="298"/>
      <c r="R111" s="218"/>
      <c r="T111" s="143"/>
      <c r="W111" s="144">
        <f>SUM($W$112:$W$121)</f>
        <v>308.0025</v>
      </c>
      <c r="Y111" s="144">
        <f>SUM($Y$112:$Y$121)</f>
        <v>0.12805</v>
      </c>
      <c r="AA111" s="145">
        <f>SUM($AA$112:$AA$121)</f>
        <v>0</v>
      </c>
      <c r="AR111" s="161" t="s">
        <v>70</v>
      </c>
      <c r="AT111" s="161" t="s">
        <v>62</v>
      </c>
      <c r="AU111" s="161" t="s">
        <v>68</v>
      </c>
      <c r="AY111" s="161" t="s">
        <v>105</v>
      </c>
      <c r="BK111" s="146">
        <f>SUM($BK$112:$BK$121)</f>
        <v>0</v>
      </c>
    </row>
    <row r="112" spans="2:64" s="154" customFormat="1" ht="20.100000000000001" customHeight="1" x14ac:dyDescent="0.3">
      <c r="B112" s="203"/>
      <c r="C112" s="179">
        <v>1</v>
      </c>
      <c r="D112" s="183"/>
      <c r="E112" s="149"/>
      <c r="F112" s="331" t="s">
        <v>265</v>
      </c>
      <c r="G112" s="332"/>
      <c r="H112" s="332"/>
      <c r="I112" s="333"/>
      <c r="J112" s="182" t="s">
        <v>107</v>
      </c>
      <c r="K112" s="180">
        <v>15</v>
      </c>
      <c r="L112" s="290">
        <v>0</v>
      </c>
      <c r="M112" s="291"/>
      <c r="N112" s="288">
        <f>ROUND(K112*L112,2)</f>
        <v>0</v>
      </c>
      <c r="O112" s="289"/>
      <c r="P112" s="289"/>
      <c r="Q112" s="289"/>
      <c r="R112" s="204"/>
      <c r="T112" s="124"/>
      <c r="U112" s="28" t="s">
        <v>28</v>
      </c>
      <c r="V112" s="125">
        <v>0.497</v>
      </c>
      <c r="W112" s="125">
        <f>$V$112*$K$112</f>
        <v>7.4550000000000001</v>
      </c>
      <c r="X112" s="125">
        <v>3.4000000000000002E-4</v>
      </c>
      <c r="Y112" s="125">
        <f>$X$112*$K$112</f>
        <v>5.1000000000000004E-3</v>
      </c>
      <c r="Z112" s="125">
        <v>0</v>
      </c>
      <c r="AA112" s="126">
        <f>$Z$112*$K$112</f>
        <v>0</v>
      </c>
      <c r="AR112" s="154" t="s">
        <v>68</v>
      </c>
      <c r="AT112" s="154" t="s">
        <v>106</v>
      </c>
      <c r="AU112" s="154" t="s">
        <v>70</v>
      </c>
      <c r="AY112" s="154" t="s">
        <v>105</v>
      </c>
      <c r="BE112" s="88">
        <f>IF($U$112="základní",$N$112,0)</f>
        <v>0</v>
      </c>
      <c r="BF112" s="88">
        <f>IF($U$112="snížená",$N$112,0)</f>
        <v>0</v>
      </c>
      <c r="BG112" s="88">
        <f>IF($U$112="zákl. přenesená",$N$112,0)</f>
        <v>0</v>
      </c>
      <c r="BH112" s="88">
        <f>IF($U$112="sníž. přenesená",$N$112,0)</f>
        <v>0</v>
      </c>
      <c r="BI112" s="88">
        <f>IF($U$112="nulová",$N$112,0)</f>
        <v>0</v>
      </c>
      <c r="BJ112" s="154" t="s">
        <v>68</v>
      </c>
      <c r="BK112" s="88">
        <f>ROUND($L$112*$K$112,2)</f>
        <v>0</v>
      </c>
      <c r="BL112" s="154" t="s">
        <v>68</v>
      </c>
    </row>
    <row r="113" spans="2:64" s="154" customFormat="1" ht="20.100000000000001" customHeight="1" x14ac:dyDescent="0.3">
      <c r="B113" s="203"/>
      <c r="C113" s="179">
        <v>2</v>
      </c>
      <c r="D113" s="131"/>
      <c r="E113" s="149"/>
      <c r="F113" s="331" t="s">
        <v>266</v>
      </c>
      <c r="G113" s="332"/>
      <c r="H113" s="332"/>
      <c r="I113" s="333"/>
      <c r="J113" s="182" t="s">
        <v>107</v>
      </c>
      <c r="K113" s="180">
        <v>15</v>
      </c>
      <c r="L113" s="290">
        <v>0</v>
      </c>
      <c r="M113" s="291"/>
      <c r="N113" s="288">
        <f t="shared" ref="N113:N137" si="0">ROUND(K113*L113,2)</f>
        <v>0</v>
      </c>
      <c r="O113" s="289"/>
      <c r="P113" s="289"/>
      <c r="Q113" s="289"/>
      <c r="R113" s="204"/>
      <c r="T113" s="124"/>
      <c r="U113" s="28" t="s">
        <v>28</v>
      </c>
      <c r="V113" s="125">
        <v>0.497</v>
      </c>
      <c r="W113" s="125">
        <f>$V$113*$K$113</f>
        <v>7.4550000000000001</v>
      </c>
      <c r="X113" s="125">
        <v>3.4000000000000002E-4</v>
      </c>
      <c r="Y113" s="125">
        <f>$X$113*$K$113</f>
        <v>5.1000000000000004E-3</v>
      </c>
      <c r="Z113" s="125">
        <v>0</v>
      </c>
      <c r="AA113" s="126">
        <f>$Z$113*$K$113</f>
        <v>0</v>
      </c>
      <c r="AR113" s="154" t="s">
        <v>68</v>
      </c>
      <c r="AT113" s="154" t="s">
        <v>106</v>
      </c>
      <c r="AU113" s="154" t="s">
        <v>70</v>
      </c>
      <c r="AY113" s="154" t="s">
        <v>105</v>
      </c>
      <c r="BE113" s="88">
        <f>IF($U$113="základní",$N$113,0)</f>
        <v>0</v>
      </c>
      <c r="BF113" s="88">
        <f>IF($U$113="snížená",$N$113,0)</f>
        <v>0</v>
      </c>
      <c r="BG113" s="88">
        <f>IF($U$113="zákl. přenesená",$N$113,0)</f>
        <v>0</v>
      </c>
      <c r="BH113" s="88">
        <f>IF($U$113="sníž. přenesená",$N$113,0)</f>
        <v>0</v>
      </c>
      <c r="BI113" s="88">
        <f>IF($U$113="nulová",$N$113,0)</f>
        <v>0</v>
      </c>
      <c r="BJ113" s="154" t="s">
        <v>68</v>
      </c>
      <c r="BK113" s="88">
        <f>ROUND($L$113*$K$113,2)</f>
        <v>0</v>
      </c>
      <c r="BL113" s="154" t="s">
        <v>68</v>
      </c>
    </row>
    <row r="114" spans="2:64" s="154" customFormat="1" ht="20.100000000000001" customHeight="1" x14ac:dyDescent="0.3">
      <c r="B114" s="203"/>
      <c r="C114" s="179">
        <v>3</v>
      </c>
      <c r="D114" s="179"/>
      <c r="E114" s="149"/>
      <c r="F114" s="331" t="s">
        <v>267</v>
      </c>
      <c r="G114" s="332"/>
      <c r="H114" s="332"/>
      <c r="I114" s="333"/>
      <c r="J114" s="182" t="s">
        <v>107</v>
      </c>
      <c r="K114" s="180">
        <v>50</v>
      </c>
      <c r="L114" s="290">
        <v>0</v>
      </c>
      <c r="M114" s="291"/>
      <c r="N114" s="288">
        <f t="shared" si="0"/>
        <v>0</v>
      </c>
      <c r="O114" s="289"/>
      <c r="P114" s="289"/>
      <c r="Q114" s="289"/>
      <c r="R114" s="204"/>
      <c r="T114" s="124"/>
      <c r="U114" s="28" t="s">
        <v>28</v>
      </c>
      <c r="V114" s="125">
        <v>0.497</v>
      </c>
      <c r="W114" s="125">
        <f>$V$114*$K$114</f>
        <v>24.85</v>
      </c>
      <c r="X114" s="125">
        <v>3.4000000000000002E-4</v>
      </c>
      <c r="Y114" s="125">
        <f>$X$114*$K$114</f>
        <v>1.7000000000000001E-2</v>
      </c>
      <c r="Z114" s="125">
        <v>0</v>
      </c>
      <c r="AA114" s="126">
        <f>$Z$114*$K$114</f>
        <v>0</v>
      </c>
      <c r="AR114" s="154" t="s">
        <v>68</v>
      </c>
      <c r="AT114" s="154" t="s">
        <v>106</v>
      </c>
      <c r="AU114" s="154" t="s">
        <v>70</v>
      </c>
      <c r="AY114" s="154" t="s">
        <v>105</v>
      </c>
      <c r="BE114" s="88">
        <f>IF($U$114="základní",$N$114,0)</f>
        <v>0</v>
      </c>
      <c r="BF114" s="88">
        <f>IF($U$114="snížená",$N$114,0)</f>
        <v>0</v>
      </c>
      <c r="BG114" s="88">
        <f>IF($U$114="zákl. přenesená",$N$114,0)</f>
        <v>0</v>
      </c>
      <c r="BH114" s="88">
        <f>IF($U$114="sníž. přenesená",$N$114,0)</f>
        <v>0</v>
      </c>
      <c r="BI114" s="88">
        <f>IF($U$114="nulová",$N$114,0)</f>
        <v>0</v>
      </c>
      <c r="BJ114" s="154" t="s">
        <v>68</v>
      </c>
      <c r="BK114" s="88">
        <f>ROUND($L$114*$K$114,2)</f>
        <v>0</v>
      </c>
      <c r="BL114" s="154" t="s">
        <v>68</v>
      </c>
    </row>
    <row r="115" spans="2:64" s="154" customFormat="1" ht="20.100000000000001" customHeight="1" x14ac:dyDescent="0.3">
      <c r="B115" s="203"/>
      <c r="C115" s="179">
        <v>4</v>
      </c>
      <c r="D115" s="179"/>
      <c r="E115" s="149"/>
      <c r="F115" s="331" t="s">
        <v>268</v>
      </c>
      <c r="G115" s="332"/>
      <c r="H115" s="332"/>
      <c r="I115" s="333"/>
      <c r="J115" s="182" t="s">
        <v>107</v>
      </c>
      <c r="K115" s="180">
        <v>2.5</v>
      </c>
      <c r="L115" s="290">
        <v>0</v>
      </c>
      <c r="M115" s="291"/>
      <c r="N115" s="288">
        <f t="shared" si="0"/>
        <v>0</v>
      </c>
      <c r="O115" s="289"/>
      <c r="P115" s="289"/>
      <c r="Q115" s="289"/>
      <c r="R115" s="204"/>
      <c r="T115" s="124"/>
      <c r="U115" s="28" t="s">
        <v>28</v>
      </c>
      <c r="V115" s="125">
        <v>0.497</v>
      </c>
      <c r="W115" s="125">
        <f>$V$115*$K$115</f>
        <v>1.2424999999999999</v>
      </c>
      <c r="X115" s="125">
        <v>3.4000000000000002E-4</v>
      </c>
      <c r="Y115" s="125">
        <f>$X$115*$K$115</f>
        <v>8.5000000000000006E-4</v>
      </c>
      <c r="Z115" s="125">
        <v>0</v>
      </c>
      <c r="AA115" s="126">
        <f>$Z$115*$K$115</f>
        <v>0</v>
      </c>
      <c r="AR115" s="154" t="s">
        <v>68</v>
      </c>
      <c r="AT115" s="154" t="s">
        <v>106</v>
      </c>
      <c r="AU115" s="154" t="s">
        <v>70</v>
      </c>
      <c r="AY115" s="154" t="s">
        <v>105</v>
      </c>
      <c r="BE115" s="88">
        <f>IF($U$115="základní",$N$115,0)</f>
        <v>0</v>
      </c>
      <c r="BF115" s="88">
        <f>IF($U$115="snížená",$N$115,0)</f>
        <v>0</v>
      </c>
      <c r="BG115" s="88">
        <f>IF($U$115="zákl. přenesená",$N$115,0)</f>
        <v>0</v>
      </c>
      <c r="BH115" s="88">
        <f>IF($U$115="sníž. přenesená",$N$115,0)</f>
        <v>0</v>
      </c>
      <c r="BI115" s="88">
        <f>IF($U$115="nulová",$N$115,0)</f>
        <v>0</v>
      </c>
      <c r="BJ115" s="154" t="s">
        <v>68</v>
      </c>
      <c r="BK115" s="88">
        <f>ROUND($L$115*$K$115,2)</f>
        <v>0</v>
      </c>
      <c r="BL115" s="154" t="s">
        <v>68</v>
      </c>
    </row>
    <row r="116" spans="2:64" s="194" customFormat="1" ht="20.100000000000001" customHeight="1" x14ac:dyDescent="0.3">
      <c r="B116" s="203"/>
      <c r="C116" s="179">
        <v>5</v>
      </c>
      <c r="D116" s="179"/>
      <c r="E116" s="149"/>
      <c r="F116" s="331" t="s">
        <v>269</v>
      </c>
      <c r="G116" s="332"/>
      <c r="H116" s="332"/>
      <c r="I116" s="333"/>
      <c r="J116" s="182" t="s">
        <v>107</v>
      </c>
      <c r="K116" s="180">
        <v>30</v>
      </c>
      <c r="L116" s="290">
        <v>0</v>
      </c>
      <c r="M116" s="291"/>
      <c r="N116" s="288">
        <f t="shared" si="0"/>
        <v>0</v>
      </c>
      <c r="O116" s="289"/>
      <c r="P116" s="289"/>
      <c r="Q116" s="289"/>
      <c r="R116" s="204"/>
      <c r="T116" s="124"/>
      <c r="U116" s="177"/>
      <c r="V116" s="181"/>
      <c r="W116" s="181"/>
      <c r="X116" s="181"/>
      <c r="Y116" s="181"/>
      <c r="Z116" s="181"/>
      <c r="AA116" s="126"/>
      <c r="BE116" s="178"/>
      <c r="BF116" s="178"/>
      <c r="BG116" s="178"/>
      <c r="BH116" s="178"/>
      <c r="BI116" s="178"/>
      <c r="BK116" s="178"/>
    </row>
    <row r="117" spans="2:64" s="194" customFormat="1" ht="20.100000000000001" customHeight="1" x14ac:dyDescent="0.3">
      <c r="B117" s="203"/>
      <c r="C117" s="179">
        <v>6</v>
      </c>
      <c r="D117" s="183"/>
      <c r="E117" s="149"/>
      <c r="F117" s="331" t="s">
        <v>270</v>
      </c>
      <c r="G117" s="332"/>
      <c r="H117" s="332"/>
      <c r="I117" s="333"/>
      <c r="J117" s="182" t="s">
        <v>107</v>
      </c>
      <c r="K117" s="180">
        <v>10</v>
      </c>
      <c r="L117" s="290">
        <v>0</v>
      </c>
      <c r="M117" s="291"/>
      <c r="N117" s="288">
        <f t="shared" si="0"/>
        <v>0</v>
      </c>
      <c r="O117" s="289"/>
      <c r="P117" s="289"/>
      <c r="Q117" s="289"/>
      <c r="R117" s="204"/>
      <c r="T117" s="124"/>
      <c r="U117" s="177"/>
      <c r="V117" s="181"/>
      <c r="W117" s="181"/>
      <c r="X117" s="181"/>
      <c r="Y117" s="181"/>
      <c r="Z117" s="181"/>
      <c r="AA117" s="126"/>
      <c r="BE117" s="178"/>
      <c r="BF117" s="178"/>
      <c r="BG117" s="178"/>
      <c r="BH117" s="178"/>
      <c r="BI117" s="178"/>
      <c r="BK117" s="178"/>
    </row>
    <row r="118" spans="2:64" s="154" customFormat="1" ht="20.100000000000001" customHeight="1" x14ac:dyDescent="0.3">
      <c r="B118" s="203"/>
      <c r="C118" s="179">
        <v>7</v>
      </c>
      <c r="D118" s="183"/>
      <c r="E118" s="149"/>
      <c r="F118" s="331" t="s">
        <v>271</v>
      </c>
      <c r="G118" s="332"/>
      <c r="H118" s="332"/>
      <c r="I118" s="333"/>
      <c r="J118" s="182" t="s">
        <v>112</v>
      </c>
      <c r="K118" s="180">
        <v>3</v>
      </c>
      <c r="L118" s="290">
        <v>0</v>
      </c>
      <c r="M118" s="291"/>
      <c r="N118" s="288">
        <f t="shared" si="0"/>
        <v>0</v>
      </c>
      <c r="O118" s="289"/>
      <c r="P118" s="289"/>
      <c r="Q118" s="289"/>
      <c r="R118" s="204"/>
      <c r="T118" s="124"/>
      <c r="U118" s="28" t="s">
        <v>28</v>
      </c>
      <c r="V118" s="125">
        <v>0.26700000000000002</v>
      </c>
      <c r="W118" s="125">
        <f>$V$119*$K$119</f>
        <v>133.5</v>
      </c>
      <c r="X118" s="125">
        <v>1E-4</v>
      </c>
      <c r="Y118" s="125">
        <f>$X$119*$K$119</f>
        <v>0.05</v>
      </c>
      <c r="Z118" s="125">
        <v>0</v>
      </c>
      <c r="AA118" s="126">
        <f>$Z$119*$K$119</f>
        <v>0</v>
      </c>
      <c r="AR118" s="154" t="s">
        <v>108</v>
      </c>
      <c r="AT118" s="154" t="s">
        <v>106</v>
      </c>
      <c r="AU118" s="154" t="s">
        <v>70</v>
      </c>
      <c r="AY118" s="154" t="s">
        <v>105</v>
      </c>
      <c r="BE118" s="88">
        <f>IF($U$119="základní",$N$119,0)</f>
        <v>0</v>
      </c>
      <c r="BF118" s="88">
        <f>IF($U$119="snížená",$N$119,0)</f>
        <v>0</v>
      </c>
      <c r="BG118" s="88">
        <f>IF($U$119="zákl. přenesená",$N$119,0)</f>
        <v>0</v>
      </c>
      <c r="BH118" s="88">
        <f>IF($U$119="sníž. přenesená",$N$119,0)</f>
        <v>0</v>
      </c>
      <c r="BI118" s="88">
        <f>IF($U$119="nulová",$N$119,0)</f>
        <v>0</v>
      </c>
      <c r="BJ118" s="154" t="s">
        <v>68</v>
      </c>
      <c r="BK118" s="88">
        <f>ROUND($L$119*$K$119,2)</f>
        <v>0</v>
      </c>
      <c r="BL118" s="154" t="s">
        <v>108</v>
      </c>
    </row>
    <row r="119" spans="2:64" s="154" customFormat="1" ht="20.100000000000001" customHeight="1" x14ac:dyDescent="0.3">
      <c r="B119" s="203"/>
      <c r="C119" s="179">
        <v>8</v>
      </c>
      <c r="D119" s="183"/>
      <c r="E119" s="149"/>
      <c r="F119" s="331" t="s">
        <v>272</v>
      </c>
      <c r="G119" s="332"/>
      <c r="H119" s="332"/>
      <c r="I119" s="333"/>
      <c r="J119" s="182" t="s">
        <v>107</v>
      </c>
      <c r="K119" s="180">
        <v>500</v>
      </c>
      <c r="L119" s="290">
        <v>0</v>
      </c>
      <c r="M119" s="291"/>
      <c r="N119" s="288">
        <f t="shared" si="0"/>
        <v>0</v>
      </c>
      <c r="O119" s="289"/>
      <c r="P119" s="289"/>
      <c r="Q119" s="289"/>
      <c r="R119" s="204"/>
      <c r="T119" s="124"/>
      <c r="U119" s="28" t="s">
        <v>28</v>
      </c>
      <c r="V119" s="125">
        <v>0.26700000000000002</v>
      </c>
      <c r="W119" s="125">
        <f>$V$119*$K$119</f>
        <v>133.5</v>
      </c>
      <c r="X119" s="125">
        <v>1E-4</v>
      </c>
      <c r="Y119" s="125">
        <f>$X$119*$K$119</f>
        <v>0.05</v>
      </c>
      <c r="Z119" s="125">
        <v>0</v>
      </c>
      <c r="AA119" s="126">
        <f>$Z$119*$K$119</f>
        <v>0</v>
      </c>
      <c r="AR119" s="154" t="s">
        <v>108</v>
      </c>
      <c r="AT119" s="154" t="s">
        <v>106</v>
      </c>
      <c r="AU119" s="154" t="s">
        <v>70</v>
      </c>
      <c r="AY119" s="154" t="s">
        <v>105</v>
      </c>
      <c r="BE119" s="88">
        <f>IF($U$119="základní",$N$119,0)</f>
        <v>0</v>
      </c>
      <c r="BF119" s="88">
        <f>IF($U$119="snížená",$N$119,0)</f>
        <v>0</v>
      </c>
      <c r="BG119" s="88">
        <f>IF($U$119="zákl. přenesená",$N$119,0)</f>
        <v>0</v>
      </c>
      <c r="BH119" s="88">
        <f>IF($U$119="sníž. přenesená",$N$119,0)</f>
        <v>0</v>
      </c>
      <c r="BI119" s="88">
        <f>IF($U$119="nulová",$N$119,0)</f>
        <v>0</v>
      </c>
      <c r="BJ119" s="154" t="s">
        <v>68</v>
      </c>
      <c r="BK119" s="88">
        <f>ROUND($L$119*$K$119,2)</f>
        <v>0</v>
      </c>
      <c r="BL119" s="154" t="s">
        <v>108</v>
      </c>
    </row>
    <row r="120" spans="2:64" s="154" customFormat="1" ht="20.100000000000001" customHeight="1" x14ac:dyDescent="0.3">
      <c r="B120" s="203"/>
      <c r="C120" s="179">
        <v>9</v>
      </c>
      <c r="D120" s="183"/>
      <c r="E120" s="149"/>
      <c r="F120" s="331" t="s">
        <v>273</v>
      </c>
      <c r="G120" s="332"/>
      <c r="H120" s="332"/>
      <c r="I120" s="333"/>
      <c r="J120" s="182" t="s">
        <v>112</v>
      </c>
      <c r="K120" s="180">
        <v>9</v>
      </c>
      <c r="L120" s="290">
        <v>0</v>
      </c>
      <c r="M120" s="291"/>
      <c r="N120" s="288">
        <f t="shared" si="0"/>
        <v>0</v>
      </c>
      <c r="O120" s="289"/>
      <c r="P120" s="289"/>
      <c r="Q120" s="289"/>
      <c r="R120" s="204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4" s="154" customFormat="1" ht="20.100000000000001" customHeight="1" x14ac:dyDescent="0.3">
      <c r="B121" s="203"/>
      <c r="C121" s="179">
        <v>10</v>
      </c>
      <c r="D121" s="183"/>
      <c r="E121" s="149"/>
      <c r="F121" s="331" t="s">
        <v>274</v>
      </c>
      <c r="G121" s="332"/>
      <c r="H121" s="332"/>
      <c r="I121" s="333"/>
      <c r="J121" s="182" t="s">
        <v>112</v>
      </c>
      <c r="K121" s="180">
        <v>3</v>
      </c>
      <c r="L121" s="290">
        <v>0</v>
      </c>
      <c r="M121" s="291"/>
      <c r="N121" s="288">
        <f t="shared" si="0"/>
        <v>0</v>
      </c>
      <c r="O121" s="289"/>
      <c r="P121" s="289"/>
      <c r="Q121" s="289"/>
      <c r="R121" s="204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4" s="141" customFormat="1" ht="20.100000000000001" customHeight="1" x14ac:dyDescent="0.3">
      <c r="B122" s="215"/>
      <c r="C122" s="179">
        <v>11</v>
      </c>
      <c r="D122" s="183"/>
      <c r="E122" s="149"/>
      <c r="F122" s="331" t="s">
        <v>275</v>
      </c>
      <c r="G122" s="332"/>
      <c r="H122" s="332"/>
      <c r="I122" s="333"/>
      <c r="J122" s="182" t="s">
        <v>107</v>
      </c>
      <c r="K122" s="180">
        <v>2</v>
      </c>
      <c r="L122" s="290">
        <v>0</v>
      </c>
      <c r="M122" s="291"/>
      <c r="N122" s="288">
        <f t="shared" si="0"/>
        <v>0</v>
      </c>
      <c r="O122" s="289"/>
      <c r="P122" s="289"/>
      <c r="Q122" s="289"/>
      <c r="R122" s="218"/>
      <c r="T122" s="143"/>
      <c r="W122" s="144"/>
      <c r="Y122" s="144"/>
      <c r="AA122" s="145"/>
      <c r="AR122" s="161"/>
      <c r="AT122" s="161"/>
      <c r="AU122" s="161"/>
      <c r="AY122" s="161"/>
      <c r="BK122" s="146"/>
    </row>
    <row r="123" spans="2:64" s="141" customFormat="1" ht="20.100000000000001" customHeight="1" x14ac:dyDescent="0.3">
      <c r="B123" s="215"/>
      <c r="C123" s="179">
        <v>12</v>
      </c>
      <c r="D123" s="183"/>
      <c r="E123" s="149"/>
      <c r="F123" s="331" t="s">
        <v>276</v>
      </c>
      <c r="G123" s="332"/>
      <c r="H123" s="332"/>
      <c r="I123" s="333"/>
      <c r="J123" s="182" t="s">
        <v>112</v>
      </c>
      <c r="K123" s="180">
        <v>3</v>
      </c>
      <c r="L123" s="290">
        <v>0</v>
      </c>
      <c r="M123" s="291"/>
      <c r="N123" s="288">
        <f t="shared" si="0"/>
        <v>0</v>
      </c>
      <c r="O123" s="289"/>
      <c r="P123" s="289"/>
      <c r="Q123" s="289"/>
      <c r="R123" s="218"/>
      <c r="T123" s="143"/>
      <c r="W123" s="144" t="e">
        <f>SUM(#REF!)</f>
        <v>#REF!</v>
      </c>
      <c r="Y123" s="144" t="e">
        <f>SUM(#REF!)</f>
        <v>#REF!</v>
      </c>
      <c r="AA123" s="145" t="e">
        <f>SUM(#REF!)</f>
        <v>#REF!</v>
      </c>
      <c r="AR123" s="161" t="s">
        <v>70</v>
      </c>
      <c r="AT123" s="161" t="s">
        <v>62</v>
      </c>
      <c r="AU123" s="161" t="s">
        <v>68</v>
      </c>
      <c r="AY123" s="161" t="s">
        <v>105</v>
      </c>
      <c r="BK123" s="146" t="e">
        <f>SUM(#REF!)</f>
        <v>#REF!</v>
      </c>
    </row>
    <row r="124" spans="2:64" s="154" customFormat="1" ht="20.100000000000001" customHeight="1" x14ac:dyDescent="0.3">
      <c r="B124" s="203"/>
      <c r="C124" s="179">
        <v>13</v>
      </c>
      <c r="D124" s="183"/>
      <c r="E124" s="149"/>
      <c r="F124" s="331" t="s">
        <v>277</v>
      </c>
      <c r="G124" s="332"/>
      <c r="H124" s="332"/>
      <c r="I124" s="333"/>
      <c r="J124" s="182" t="s">
        <v>107</v>
      </c>
      <c r="K124" s="180">
        <v>40</v>
      </c>
      <c r="L124" s="290">
        <v>0</v>
      </c>
      <c r="M124" s="291"/>
      <c r="N124" s="288">
        <f t="shared" si="0"/>
        <v>0</v>
      </c>
      <c r="O124" s="289"/>
      <c r="P124" s="289"/>
      <c r="Q124" s="289"/>
      <c r="R124" s="204"/>
      <c r="T124" s="124"/>
      <c r="U124" s="28"/>
      <c r="V124" s="125"/>
      <c r="W124" s="125"/>
      <c r="X124" s="125"/>
      <c r="Y124" s="125"/>
      <c r="Z124" s="125"/>
      <c r="AA124" s="126"/>
      <c r="BE124" s="88"/>
      <c r="BF124" s="88"/>
      <c r="BG124" s="88"/>
      <c r="BH124" s="88"/>
      <c r="BI124" s="88"/>
      <c r="BK124" s="88"/>
    </row>
    <row r="125" spans="2:64" s="154" customFormat="1" ht="20.100000000000001" customHeight="1" x14ac:dyDescent="0.3">
      <c r="B125" s="203"/>
      <c r="C125" s="179">
        <v>14</v>
      </c>
      <c r="D125" s="183"/>
      <c r="E125" s="149"/>
      <c r="F125" s="331" t="s">
        <v>278</v>
      </c>
      <c r="G125" s="332"/>
      <c r="H125" s="332"/>
      <c r="I125" s="333"/>
      <c r="J125" s="182" t="s">
        <v>112</v>
      </c>
      <c r="K125" s="180">
        <v>12</v>
      </c>
      <c r="L125" s="290">
        <v>0</v>
      </c>
      <c r="M125" s="291"/>
      <c r="N125" s="288">
        <f t="shared" si="0"/>
        <v>0</v>
      </c>
      <c r="O125" s="289"/>
      <c r="P125" s="289"/>
      <c r="Q125" s="289"/>
      <c r="R125" s="204"/>
      <c r="T125" s="124"/>
      <c r="U125" s="28"/>
      <c r="V125" s="125"/>
      <c r="W125" s="125"/>
      <c r="X125" s="125"/>
      <c r="Y125" s="125"/>
      <c r="Z125" s="125"/>
      <c r="AA125" s="126"/>
      <c r="BE125" s="88"/>
      <c r="BF125" s="88"/>
      <c r="BG125" s="88"/>
      <c r="BH125" s="88"/>
      <c r="BI125" s="88"/>
      <c r="BK125" s="88"/>
    </row>
    <row r="126" spans="2:64" s="154" customFormat="1" ht="20.100000000000001" customHeight="1" x14ac:dyDescent="0.3">
      <c r="B126" s="203"/>
      <c r="C126" s="179">
        <v>15</v>
      </c>
      <c r="D126" s="183"/>
      <c r="E126" s="149"/>
      <c r="F126" s="331" t="s">
        <v>279</v>
      </c>
      <c r="G126" s="332"/>
      <c r="H126" s="332"/>
      <c r="I126" s="333"/>
      <c r="J126" s="182" t="s">
        <v>112</v>
      </c>
      <c r="K126" s="180">
        <v>3</v>
      </c>
      <c r="L126" s="290">
        <v>0</v>
      </c>
      <c r="M126" s="291"/>
      <c r="N126" s="288">
        <f t="shared" si="0"/>
        <v>0</v>
      </c>
      <c r="O126" s="289"/>
      <c r="P126" s="289"/>
      <c r="Q126" s="289"/>
      <c r="R126" s="204"/>
      <c r="T126" s="124"/>
      <c r="U126" s="28"/>
      <c r="V126" s="125"/>
      <c r="W126" s="125"/>
      <c r="X126" s="125"/>
      <c r="Y126" s="125"/>
      <c r="Z126" s="125"/>
      <c r="AA126" s="126"/>
      <c r="BE126" s="88"/>
      <c r="BF126" s="88"/>
      <c r="BG126" s="88"/>
      <c r="BH126" s="88"/>
      <c r="BI126" s="88"/>
      <c r="BK126" s="88"/>
    </row>
    <row r="127" spans="2:64" s="154" customFormat="1" ht="20.100000000000001" customHeight="1" x14ac:dyDescent="0.3">
      <c r="B127" s="203"/>
      <c r="C127" s="179">
        <v>16</v>
      </c>
      <c r="D127" s="183"/>
      <c r="E127" s="149"/>
      <c r="F127" s="331" t="s">
        <v>280</v>
      </c>
      <c r="G127" s="332"/>
      <c r="H127" s="332"/>
      <c r="I127" s="333"/>
      <c r="J127" s="182" t="s">
        <v>112</v>
      </c>
      <c r="K127" s="180">
        <v>3</v>
      </c>
      <c r="L127" s="290">
        <v>0</v>
      </c>
      <c r="M127" s="291"/>
      <c r="N127" s="288">
        <f t="shared" si="0"/>
        <v>0</v>
      </c>
      <c r="O127" s="289"/>
      <c r="P127" s="289"/>
      <c r="Q127" s="289"/>
      <c r="R127" s="204"/>
      <c r="T127" s="124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4" s="141" customFormat="1" ht="20.100000000000001" customHeight="1" x14ac:dyDescent="0.3">
      <c r="B128" s="215"/>
      <c r="C128" s="179">
        <v>17</v>
      </c>
      <c r="D128" s="183"/>
      <c r="E128" s="149"/>
      <c r="F128" s="331" t="s">
        <v>281</v>
      </c>
      <c r="G128" s="332"/>
      <c r="H128" s="332"/>
      <c r="I128" s="333"/>
      <c r="J128" s="182" t="s">
        <v>112</v>
      </c>
      <c r="K128" s="180">
        <v>3</v>
      </c>
      <c r="L128" s="290">
        <v>0</v>
      </c>
      <c r="M128" s="291"/>
      <c r="N128" s="288">
        <f t="shared" si="0"/>
        <v>0</v>
      </c>
      <c r="O128" s="289"/>
      <c r="P128" s="289"/>
      <c r="Q128" s="289"/>
      <c r="R128" s="218"/>
      <c r="T128" s="143"/>
      <c r="W128" s="144"/>
      <c r="Y128" s="144"/>
      <c r="AA128" s="145"/>
      <c r="AR128" s="161"/>
      <c r="AT128" s="161"/>
      <c r="AU128" s="161"/>
      <c r="AY128" s="161"/>
      <c r="BK128" s="146"/>
    </row>
    <row r="129" spans="2:63" s="154" customFormat="1" ht="20.100000000000001" customHeight="1" x14ac:dyDescent="0.3">
      <c r="B129" s="203"/>
      <c r="C129" s="179">
        <v>18</v>
      </c>
      <c r="D129" s="183"/>
      <c r="E129" s="149"/>
      <c r="F129" s="331" t="s">
        <v>282</v>
      </c>
      <c r="G129" s="332"/>
      <c r="H129" s="332"/>
      <c r="I129" s="333"/>
      <c r="J129" s="182" t="s">
        <v>112</v>
      </c>
      <c r="K129" s="180">
        <v>2</v>
      </c>
      <c r="L129" s="290">
        <v>0</v>
      </c>
      <c r="M129" s="291"/>
      <c r="N129" s="288">
        <f t="shared" si="0"/>
        <v>0</v>
      </c>
      <c r="O129" s="289"/>
      <c r="P129" s="289"/>
      <c r="Q129" s="289"/>
      <c r="R129" s="204"/>
      <c r="T129" s="124"/>
      <c r="U129" s="28"/>
      <c r="V129" s="125"/>
      <c r="W129" s="125"/>
      <c r="X129" s="125"/>
      <c r="Y129" s="125"/>
      <c r="Z129" s="125"/>
      <c r="AA129" s="126"/>
      <c r="BE129" s="88"/>
      <c r="BF129" s="88"/>
      <c r="BG129" s="88"/>
      <c r="BH129" s="88"/>
      <c r="BI129" s="88"/>
      <c r="BK129" s="88"/>
    </row>
    <row r="130" spans="2:63" s="196" customFormat="1" ht="20.100000000000001" customHeight="1" x14ac:dyDescent="0.3">
      <c r="B130" s="203"/>
      <c r="C130" s="179">
        <v>19</v>
      </c>
      <c r="D130" s="183"/>
      <c r="E130" s="149"/>
      <c r="F130" s="331" t="s">
        <v>283</v>
      </c>
      <c r="G130" s="332"/>
      <c r="H130" s="332"/>
      <c r="I130" s="333"/>
      <c r="J130" s="182" t="s">
        <v>112</v>
      </c>
      <c r="K130" s="180">
        <v>1</v>
      </c>
      <c r="L130" s="290">
        <v>0</v>
      </c>
      <c r="M130" s="291"/>
      <c r="N130" s="288">
        <f t="shared" si="0"/>
        <v>0</v>
      </c>
      <c r="O130" s="289"/>
      <c r="P130" s="289"/>
      <c r="Q130" s="289"/>
      <c r="R130" s="204"/>
      <c r="T130" s="124"/>
      <c r="U130" s="177"/>
      <c r="V130" s="181"/>
      <c r="W130" s="181"/>
      <c r="X130" s="181"/>
      <c r="Y130" s="181"/>
      <c r="Z130" s="181"/>
      <c r="AA130" s="126"/>
      <c r="BE130" s="178"/>
      <c r="BF130" s="178"/>
      <c r="BG130" s="178"/>
      <c r="BH130" s="178"/>
      <c r="BI130" s="178"/>
      <c r="BK130" s="178"/>
    </row>
    <row r="131" spans="2:63" s="196" customFormat="1" ht="20.100000000000001" customHeight="1" x14ac:dyDescent="0.3">
      <c r="B131" s="203"/>
      <c r="C131" s="179">
        <v>20</v>
      </c>
      <c r="D131" s="183"/>
      <c r="E131" s="149"/>
      <c r="F131" s="331" t="s">
        <v>284</v>
      </c>
      <c r="G131" s="332"/>
      <c r="H131" s="332"/>
      <c r="I131" s="333"/>
      <c r="J131" s="182" t="s">
        <v>112</v>
      </c>
      <c r="K131" s="180">
        <v>3</v>
      </c>
      <c r="L131" s="290">
        <v>0</v>
      </c>
      <c r="M131" s="291"/>
      <c r="N131" s="288">
        <f t="shared" si="0"/>
        <v>0</v>
      </c>
      <c r="O131" s="289"/>
      <c r="P131" s="289"/>
      <c r="Q131" s="289"/>
      <c r="R131" s="204"/>
      <c r="T131" s="124"/>
      <c r="U131" s="177"/>
      <c r="V131" s="181"/>
      <c r="W131" s="181"/>
      <c r="X131" s="181"/>
      <c r="Y131" s="181"/>
      <c r="Z131" s="181"/>
      <c r="AA131" s="126"/>
      <c r="BE131" s="178"/>
      <c r="BF131" s="178"/>
      <c r="BG131" s="178"/>
      <c r="BH131" s="178"/>
      <c r="BI131" s="178"/>
      <c r="BK131" s="178"/>
    </row>
    <row r="132" spans="2:63" s="154" customFormat="1" ht="20.100000000000001" customHeight="1" x14ac:dyDescent="0.3">
      <c r="B132" s="203"/>
      <c r="C132" s="179">
        <v>21</v>
      </c>
      <c r="D132" s="183"/>
      <c r="E132" s="149"/>
      <c r="F132" s="331" t="s">
        <v>285</v>
      </c>
      <c r="G132" s="332"/>
      <c r="H132" s="332"/>
      <c r="I132" s="333"/>
      <c r="J132" s="182" t="s">
        <v>112</v>
      </c>
      <c r="K132" s="180">
        <v>3</v>
      </c>
      <c r="L132" s="290">
        <v>0</v>
      </c>
      <c r="M132" s="291"/>
      <c r="N132" s="288">
        <f t="shared" si="0"/>
        <v>0</v>
      </c>
      <c r="O132" s="289"/>
      <c r="P132" s="289"/>
      <c r="Q132" s="289"/>
      <c r="R132" s="204"/>
      <c r="T132" s="124"/>
      <c r="U132" s="28"/>
      <c r="V132" s="125"/>
      <c r="W132" s="125"/>
      <c r="X132" s="125"/>
      <c r="Y132" s="125"/>
      <c r="Z132" s="125"/>
      <c r="AA132" s="126"/>
      <c r="BE132" s="88"/>
      <c r="BF132" s="88"/>
      <c r="BG132" s="88"/>
      <c r="BH132" s="88"/>
      <c r="BI132" s="88"/>
      <c r="BK132" s="88"/>
    </row>
    <row r="133" spans="2:63" s="154" customFormat="1" ht="20.100000000000001" customHeight="1" x14ac:dyDescent="0.3">
      <c r="B133" s="203"/>
      <c r="C133" s="179">
        <v>22</v>
      </c>
      <c r="D133" s="183"/>
      <c r="E133" s="149"/>
      <c r="F133" s="331" t="s">
        <v>286</v>
      </c>
      <c r="G133" s="332"/>
      <c r="H133" s="332"/>
      <c r="I133" s="333"/>
      <c r="J133" s="182" t="s">
        <v>287</v>
      </c>
      <c r="K133" s="180">
        <v>10</v>
      </c>
      <c r="L133" s="290">
        <v>0</v>
      </c>
      <c r="M133" s="291"/>
      <c r="N133" s="288">
        <f t="shared" si="0"/>
        <v>0</v>
      </c>
      <c r="O133" s="289"/>
      <c r="P133" s="289"/>
      <c r="Q133" s="289"/>
      <c r="R133" s="204"/>
      <c r="T133" s="133"/>
      <c r="U133" s="28"/>
      <c r="V133" s="125"/>
      <c r="W133" s="125"/>
      <c r="X133" s="125"/>
      <c r="Y133" s="125"/>
      <c r="Z133" s="125"/>
      <c r="AA133" s="126"/>
      <c r="BE133" s="88"/>
      <c r="BF133" s="88"/>
      <c r="BG133" s="88"/>
      <c r="BH133" s="88"/>
      <c r="BI133" s="88"/>
      <c r="BK133" s="88"/>
    </row>
    <row r="134" spans="2:63" s="154" customFormat="1" ht="20.100000000000001" customHeight="1" x14ac:dyDescent="0.3">
      <c r="B134" s="203"/>
      <c r="C134" s="179">
        <v>23</v>
      </c>
      <c r="D134" s="183"/>
      <c r="E134" s="149"/>
      <c r="F134" s="331" t="s">
        <v>288</v>
      </c>
      <c r="G134" s="332"/>
      <c r="H134" s="332"/>
      <c r="I134" s="333"/>
      <c r="J134" s="182" t="s">
        <v>112</v>
      </c>
      <c r="K134" s="180">
        <v>500</v>
      </c>
      <c r="L134" s="290">
        <v>0</v>
      </c>
      <c r="M134" s="291"/>
      <c r="N134" s="288">
        <f t="shared" si="0"/>
        <v>0</v>
      </c>
      <c r="O134" s="289"/>
      <c r="P134" s="289"/>
      <c r="Q134" s="289"/>
      <c r="R134" s="204"/>
      <c r="T134" s="133"/>
      <c r="U134" s="28"/>
      <c r="V134" s="125"/>
      <c r="W134" s="125"/>
      <c r="X134" s="125"/>
      <c r="Y134" s="125"/>
      <c r="Z134" s="125"/>
      <c r="AA134" s="126"/>
      <c r="BE134" s="88"/>
      <c r="BF134" s="88"/>
      <c r="BG134" s="88"/>
      <c r="BH134" s="88"/>
      <c r="BI134" s="88"/>
      <c r="BK134" s="88"/>
    </row>
    <row r="135" spans="2:63" s="154" customFormat="1" ht="30" customHeight="1" x14ac:dyDescent="0.3">
      <c r="B135" s="203"/>
      <c r="C135" s="179">
        <v>24</v>
      </c>
      <c r="D135" s="183"/>
      <c r="E135" s="149"/>
      <c r="F135" s="331" t="s">
        <v>289</v>
      </c>
      <c r="G135" s="332"/>
      <c r="H135" s="332"/>
      <c r="I135" s="333"/>
      <c r="J135" s="182" t="s">
        <v>112</v>
      </c>
      <c r="K135" s="180">
        <v>60</v>
      </c>
      <c r="L135" s="290">
        <v>0</v>
      </c>
      <c r="M135" s="291"/>
      <c r="N135" s="288">
        <f t="shared" si="0"/>
        <v>0</v>
      </c>
      <c r="O135" s="289"/>
      <c r="P135" s="289"/>
      <c r="Q135" s="289"/>
      <c r="R135" s="204"/>
      <c r="T135" s="133"/>
      <c r="U135" s="28"/>
      <c r="V135" s="125"/>
      <c r="W135" s="125"/>
      <c r="X135" s="125"/>
      <c r="Y135" s="125"/>
      <c r="Z135" s="125"/>
      <c r="AA135" s="126"/>
      <c r="BE135" s="88"/>
      <c r="BF135" s="88"/>
      <c r="BG135" s="88"/>
      <c r="BH135" s="88"/>
      <c r="BI135" s="88"/>
      <c r="BK135" s="88"/>
    </row>
    <row r="136" spans="2:63" s="168" customFormat="1" ht="30" customHeight="1" x14ac:dyDescent="0.3">
      <c r="B136" s="203"/>
      <c r="C136" s="179">
        <v>25</v>
      </c>
      <c r="D136" s="183"/>
      <c r="E136" s="149"/>
      <c r="F136" s="331" t="s">
        <v>290</v>
      </c>
      <c r="G136" s="332"/>
      <c r="H136" s="332"/>
      <c r="I136" s="333"/>
      <c r="J136" s="182" t="s">
        <v>107</v>
      </c>
      <c r="K136" s="180">
        <v>25</v>
      </c>
      <c r="L136" s="290">
        <v>0</v>
      </c>
      <c r="M136" s="291"/>
      <c r="N136" s="288">
        <f t="shared" si="0"/>
        <v>0</v>
      </c>
      <c r="O136" s="289"/>
      <c r="P136" s="289"/>
      <c r="Q136" s="289"/>
      <c r="R136" s="204"/>
      <c r="T136" s="133"/>
      <c r="U136" s="28"/>
      <c r="V136" s="125"/>
      <c r="W136" s="125"/>
      <c r="X136" s="125"/>
      <c r="Y136" s="125"/>
      <c r="Z136" s="125"/>
      <c r="AA136" s="126"/>
      <c r="BE136" s="88"/>
      <c r="BF136" s="88"/>
      <c r="BG136" s="88"/>
      <c r="BH136" s="88"/>
      <c r="BI136" s="88"/>
      <c r="BK136" s="88"/>
    </row>
    <row r="137" spans="2:63" s="168" customFormat="1" ht="20.100000000000001" customHeight="1" x14ac:dyDescent="0.3">
      <c r="B137" s="203"/>
      <c r="C137" s="179">
        <v>26</v>
      </c>
      <c r="D137" s="183"/>
      <c r="E137" s="149"/>
      <c r="F137" s="331" t="s">
        <v>291</v>
      </c>
      <c r="G137" s="332"/>
      <c r="H137" s="332"/>
      <c r="I137" s="333"/>
      <c r="J137" s="182" t="s">
        <v>112</v>
      </c>
      <c r="K137" s="180">
        <v>150</v>
      </c>
      <c r="L137" s="290">
        <v>0</v>
      </c>
      <c r="M137" s="291"/>
      <c r="N137" s="288">
        <f t="shared" si="0"/>
        <v>0</v>
      </c>
      <c r="O137" s="289"/>
      <c r="P137" s="289"/>
      <c r="Q137" s="289"/>
      <c r="R137" s="204"/>
      <c r="T137" s="124"/>
      <c r="U137" s="28"/>
      <c r="V137" s="125"/>
      <c r="W137" s="125"/>
      <c r="X137" s="125"/>
      <c r="Y137" s="125"/>
      <c r="Z137" s="125"/>
      <c r="AA137" s="126"/>
      <c r="BE137" s="88"/>
      <c r="BF137" s="88"/>
      <c r="BG137" s="88"/>
      <c r="BH137" s="88"/>
      <c r="BI137" s="88"/>
      <c r="BK137" s="88"/>
    </row>
    <row r="138" spans="2:63" s="168" customFormat="1" ht="20.100000000000001" customHeight="1" x14ac:dyDescent="0.3">
      <c r="B138" s="203"/>
      <c r="C138" s="132"/>
      <c r="D138" s="138" t="s">
        <v>292</v>
      </c>
      <c r="E138" s="234"/>
      <c r="F138" s="235"/>
      <c r="G138" s="235"/>
      <c r="H138" s="235"/>
      <c r="I138" s="235"/>
      <c r="J138" s="236"/>
      <c r="K138" s="237"/>
      <c r="L138" s="231"/>
      <c r="M138" s="231"/>
      <c r="N138" s="297">
        <f>SUM(N139:Q143)</f>
        <v>0</v>
      </c>
      <c r="O138" s="298"/>
      <c r="P138" s="298"/>
      <c r="Q138" s="298"/>
      <c r="R138" s="204"/>
      <c r="T138" s="124"/>
      <c r="U138" s="28"/>
      <c r="V138" s="125"/>
      <c r="W138" s="125"/>
      <c r="X138" s="125"/>
      <c r="Y138" s="125"/>
      <c r="Z138" s="125"/>
      <c r="AA138" s="126"/>
      <c r="BE138" s="88"/>
      <c r="BF138" s="88"/>
      <c r="BG138" s="88"/>
      <c r="BH138" s="88"/>
      <c r="BI138" s="88"/>
      <c r="BK138" s="88"/>
    </row>
    <row r="139" spans="2:63" s="168" customFormat="1" ht="20.100000000000001" customHeight="1" x14ac:dyDescent="0.3">
      <c r="B139" s="203"/>
      <c r="C139" s="179">
        <v>27</v>
      </c>
      <c r="D139" s="183"/>
      <c r="E139" s="149"/>
      <c r="F139" s="342" t="s">
        <v>293</v>
      </c>
      <c r="G139" s="343"/>
      <c r="H139" s="343"/>
      <c r="I139" s="344"/>
      <c r="J139" s="182" t="s">
        <v>112</v>
      </c>
      <c r="K139" s="180">
        <v>1</v>
      </c>
      <c r="L139" s="290">
        <v>0</v>
      </c>
      <c r="M139" s="291"/>
      <c r="N139" s="288">
        <f>ROUND(K139*L139,2)</f>
        <v>0</v>
      </c>
      <c r="O139" s="289"/>
      <c r="P139" s="289"/>
      <c r="Q139" s="289"/>
      <c r="R139" s="204"/>
      <c r="T139" s="124"/>
      <c r="U139" s="28"/>
      <c r="V139" s="125"/>
      <c r="W139" s="125"/>
      <c r="X139" s="125"/>
      <c r="Y139" s="125"/>
      <c r="Z139" s="125"/>
      <c r="AA139" s="126"/>
      <c r="BE139" s="88"/>
      <c r="BF139" s="88"/>
      <c r="BG139" s="88"/>
      <c r="BH139" s="88"/>
      <c r="BI139" s="88"/>
      <c r="BK139" s="88"/>
    </row>
    <row r="140" spans="2:63" s="196" customFormat="1" ht="20.100000000000001" customHeight="1" x14ac:dyDescent="0.3">
      <c r="B140" s="203"/>
      <c r="C140" s="179">
        <v>28</v>
      </c>
      <c r="D140" s="183"/>
      <c r="E140" s="149"/>
      <c r="F140" s="342" t="s">
        <v>294</v>
      </c>
      <c r="G140" s="343"/>
      <c r="H140" s="343"/>
      <c r="I140" s="344"/>
      <c r="J140" s="182" t="s">
        <v>112</v>
      </c>
      <c r="K140" s="180">
        <v>1</v>
      </c>
      <c r="L140" s="290">
        <v>0</v>
      </c>
      <c r="M140" s="291"/>
      <c r="N140" s="288">
        <f t="shared" ref="N140:N143" si="1">ROUND(K140*L140,2)</f>
        <v>0</v>
      </c>
      <c r="O140" s="289"/>
      <c r="P140" s="289"/>
      <c r="Q140" s="289"/>
      <c r="R140" s="204"/>
      <c r="T140" s="124"/>
      <c r="U140" s="177"/>
      <c r="V140" s="181"/>
      <c r="W140" s="181"/>
      <c r="X140" s="181"/>
      <c r="Y140" s="181"/>
      <c r="Z140" s="181"/>
      <c r="AA140" s="126"/>
      <c r="BE140" s="178"/>
      <c r="BF140" s="178"/>
      <c r="BG140" s="178"/>
      <c r="BH140" s="178"/>
      <c r="BI140" s="178"/>
      <c r="BK140" s="178"/>
    </row>
    <row r="141" spans="2:63" s="154" customFormat="1" ht="20.100000000000001" customHeight="1" x14ac:dyDescent="0.3">
      <c r="B141" s="203"/>
      <c r="C141" s="179">
        <v>29</v>
      </c>
      <c r="D141" s="183"/>
      <c r="E141" s="149"/>
      <c r="F141" s="342" t="s">
        <v>295</v>
      </c>
      <c r="G141" s="343"/>
      <c r="H141" s="343"/>
      <c r="I141" s="344"/>
      <c r="J141" s="182" t="s">
        <v>112</v>
      </c>
      <c r="K141" s="180">
        <v>1</v>
      </c>
      <c r="L141" s="290">
        <v>0</v>
      </c>
      <c r="M141" s="291"/>
      <c r="N141" s="288">
        <f t="shared" si="1"/>
        <v>0</v>
      </c>
      <c r="O141" s="289"/>
      <c r="P141" s="289"/>
      <c r="Q141" s="289"/>
      <c r="R141" s="204"/>
      <c r="T141" s="124"/>
      <c r="U141" s="28"/>
      <c r="V141" s="125"/>
      <c r="W141" s="125"/>
      <c r="X141" s="125"/>
      <c r="Y141" s="125"/>
      <c r="Z141" s="125"/>
      <c r="AA141" s="126"/>
      <c r="BE141" s="88"/>
      <c r="BF141" s="88"/>
      <c r="BG141" s="88"/>
      <c r="BH141" s="88"/>
      <c r="BI141" s="88"/>
      <c r="BK141" s="88"/>
    </row>
    <row r="142" spans="2:63" s="154" customFormat="1" ht="20.100000000000001" customHeight="1" x14ac:dyDescent="0.3">
      <c r="B142" s="203"/>
      <c r="C142" s="179">
        <v>30</v>
      </c>
      <c r="D142" s="183"/>
      <c r="E142" s="149"/>
      <c r="F142" s="331" t="s">
        <v>296</v>
      </c>
      <c r="G142" s="332"/>
      <c r="H142" s="332"/>
      <c r="I142" s="333"/>
      <c r="J142" s="182" t="s">
        <v>112</v>
      </c>
      <c r="K142" s="180">
        <v>4</v>
      </c>
      <c r="L142" s="290">
        <v>0</v>
      </c>
      <c r="M142" s="291"/>
      <c r="N142" s="288">
        <f t="shared" si="1"/>
        <v>0</v>
      </c>
      <c r="O142" s="289"/>
      <c r="P142" s="289"/>
      <c r="Q142" s="289"/>
      <c r="R142" s="204"/>
      <c r="T142" s="133"/>
      <c r="U142" s="28"/>
      <c r="V142" s="125"/>
      <c r="W142" s="125"/>
      <c r="X142" s="125"/>
      <c r="Y142" s="125"/>
      <c r="Z142" s="125"/>
      <c r="AA142" s="126"/>
      <c r="BE142" s="88"/>
      <c r="BF142" s="88"/>
      <c r="BG142" s="88"/>
      <c r="BH142" s="88"/>
      <c r="BI142" s="88"/>
      <c r="BK142" s="88"/>
    </row>
    <row r="143" spans="2:63" s="154" customFormat="1" ht="20.100000000000001" customHeight="1" x14ac:dyDescent="0.3">
      <c r="B143" s="203"/>
      <c r="C143" s="179">
        <v>31</v>
      </c>
      <c r="D143" s="183"/>
      <c r="E143" s="149"/>
      <c r="F143" s="342" t="s">
        <v>297</v>
      </c>
      <c r="G143" s="343"/>
      <c r="H143" s="343"/>
      <c r="I143" s="344"/>
      <c r="J143" s="182" t="s">
        <v>112</v>
      </c>
      <c r="K143" s="180">
        <v>1</v>
      </c>
      <c r="L143" s="290">
        <v>0</v>
      </c>
      <c r="M143" s="291"/>
      <c r="N143" s="288">
        <f t="shared" si="1"/>
        <v>0</v>
      </c>
      <c r="O143" s="289"/>
      <c r="P143" s="289"/>
      <c r="Q143" s="289"/>
      <c r="R143" s="204"/>
      <c r="T143" s="124"/>
      <c r="U143" s="28"/>
      <c r="V143" s="125"/>
      <c r="W143" s="125"/>
      <c r="X143" s="125"/>
      <c r="Y143" s="125"/>
      <c r="Z143" s="125"/>
      <c r="AA143" s="126"/>
      <c r="BE143" s="88"/>
      <c r="BF143" s="88"/>
      <c r="BG143" s="88"/>
      <c r="BH143" s="88"/>
      <c r="BI143" s="88"/>
      <c r="BK143" s="88"/>
    </row>
    <row r="144" spans="2:63" s="154" customFormat="1" ht="20.100000000000001" customHeight="1" x14ac:dyDescent="0.3">
      <c r="B144" s="203"/>
      <c r="C144" s="132"/>
      <c r="D144" s="138" t="s">
        <v>298</v>
      </c>
      <c r="E144" s="234"/>
      <c r="F144" s="235"/>
      <c r="G144" s="235"/>
      <c r="H144" s="235"/>
      <c r="I144" s="235"/>
      <c r="J144" s="236"/>
      <c r="K144" s="237"/>
      <c r="L144" s="231"/>
      <c r="M144" s="231"/>
      <c r="N144" s="297">
        <f>SUM(N145:Q148)</f>
        <v>0</v>
      </c>
      <c r="O144" s="298"/>
      <c r="P144" s="298"/>
      <c r="Q144" s="298"/>
      <c r="R144" s="204"/>
      <c r="T144" s="124"/>
      <c r="U144" s="28"/>
      <c r="V144" s="125"/>
      <c r="W144" s="125"/>
      <c r="X144" s="125"/>
      <c r="Y144" s="125"/>
      <c r="Z144" s="125"/>
      <c r="AA144" s="126"/>
      <c r="BE144" s="88"/>
      <c r="BF144" s="88"/>
      <c r="BG144" s="88"/>
      <c r="BH144" s="88"/>
      <c r="BI144" s="88"/>
      <c r="BK144" s="88"/>
    </row>
    <row r="145" spans="2:63" s="168" customFormat="1" ht="20.100000000000001" customHeight="1" x14ac:dyDescent="0.3">
      <c r="B145" s="203"/>
      <c r="C145" s="179">
        <f>C143+1</f>
        <v>32</v>
      </c>
      <c r="D145" s="183"/>
      <c r="E145" s="149"/>
      <c r="F145" s="342" t="s">
        <v>299</v>
      </c>
      <c r="G145" s="343"/>
      <c r="H145" s="343"/>
      <c r="I145" s="344"/>
      <c r="J145" s="182" t="s">
        <v>112</v>
      </c>
      <c r="K145" s="180">
        <v>1</v>
      </c>
      <c r="L145" s="290">
        <v>0</v>
      </c>
      <c r="M145" s="291"/>
      <c r="N145" s="288">
        <f>ROUND(K145*L145,2)</f>
        <v>0</v>
      </c>
      <c r="O145" s="289"/>
      <c r="P145" s="289"/>
      <c r="Q145" s="289"/>
      <c r="R145" s="204"/>
      <c r="T145" s="124"/>
      <c r="U145" s="28"/>
      <c r="V145" s="125"/>
      <c r="W145" s="125"/>
      <c r="X145" s="125"/>
      <c r="Y145" s="125"/>
      <c r="Z145" s="125"/>
      <c r="AA145" s="126"/>
      <c r="BE145" s="88"/>
      <c r="BF145" s="88"/>
      <c r="BG145" s="88"/>
      <c r="BH145" s="88"/>
      <c r="BI145" s="88"/>
      <c r="BK145" s="88"/>
    </row>
    <row r="146" spans="2:63" s="154" customFormat="1" ht="20.100000000000001" customHeight="1" x14ac:dyDescent="0.3">
      <c r="B146" s="203"/>
      <c r="C146" s="179">
        <f>C145+1</f>
        <v>33</v>
      </c>
      <c r="D146" s="183"/>
      <c r="E146" s="149"/>
      <c r="F146" s="342" t="s">
        <v>300</v>
      </c>
      <c r="G146" s="343"/>
      <c r="H146" s="343"/>
      <c r="I146" s="344"/>
      <c r="J146" s="182" t="s">
        <v>112</v>
      </c>
      <c r="K146" s="180">
        <v>1</v>
      </c>
      <c r="L146" s="290">
        <v>0</v>
      </c>
      <c r="M146" s="291"/>
      <c r="N146" s="288">
        <f t="shared" ref="N146:N148" si="2">ROUND(K146*L146,2)</f>
        <v>0</v>
      </c>
      <c r="O146" s="289"/>
      <c r="P146" s="289"/>
      <c r="Q146" s="289"/>
      <c r="R146" s="204"/>
      <c r="T146" s="124"/>
      <c r="U146" s="28"/>
      <c r="V146" s="125"/>
      <c r="W146" s="125"/>
      <c r="X146" s="125"/>
      <c r="Y146" s="125"/>
      <c r="Z146" s="125"/>
      <c r="AA146" s="126"/>
      <c r="BE146" s="88"/>
      <c r="BF146" s="88"/>
      <c r="BG146" s="88"/>
      <c r="BH146" s="88"/>
      <c r="BI146" s="88"/>
      <c r="BK146" s="88"/>
    </row>
    <row r="147" spans="2:63" s="141" customFormat="1" ht="20.100000000000001" customHeight="1" x14ac:dyDescent="0.3">
      <c r="B147" s="215"/>
      <c r="C147" s="179">
        <f>C146+1</f>
        <v>34</v>
      </c>
      <c r="D147" s="183"/>
      <c r="E147" s="149"/>
      <c r="F147" s="342" t="s">
        <v>301</v>
      </c>
      <c r="G147" s="343"/>
      <c r="H147" s="343"/>
      <c r="I147" s="344"/>
      <c r="J147" s="182" t="s">
        <v>112</v>
      </c>
      <c r="K147" s="180">
        <v>1</v>
      </c>
      <c r="L147" s="290">
        <v>0</v>
      </c>
      <c r="M147" s="291"/>
      <c r="N147" s="288">
        <f t="shared" si="2"/>
        <v>0</v>
      </c>
      <c r="O147" s="289"/>
      <c r="P147" s="289"/>
      <c r="Q147" s="289"/>
      <c r="R147" s="218"/>
      <c r="T147" s="143"/>
      <c r="W147" s="144"/>
      <c r="Y147" s="144"/>
      <c r="AA147" s="145"/>
      <c r="AR147" s="161"/>
      <c r="AT147" s="161"/>
      <c r="AU147" s="161"/>
      <c r="AY147" s="161"/>
      <c r="BK147" s="146"/>
    </row>
    <row r="148" spans="2:63" s="141" customFormat="1" ht="20.100000000000001" customHeight="1" x14ac:dyDescent="0.3">
      <c r="B148" s="215"/>
      <c r="C148" s="179">
        <f>C147+1</f>
        <v>35</v>
      </c>
      <c r="D148" s="183"/>
      <c r="E148" s="149"/>
      <c r="F148" s="342" t="s">
        <v>302</v>
      </c>
      <c r="G148" s="343"/>
      <c r="H148" s="343"/>
      <c r="I148" s="344"/>
      <c r="J148" s="182" t="s">
        <v>112</v>
      </c>
      <c r="K148" s="180">
        <v>1</v>
      </c>
      <c r="L148" s="290">
        <v>0</v>
      </c>
      <c r="M148" s="291"/>
      <c r="N148" s="288">
        <f t="shared" si="2"/>
        <v>0</v>
      </c>
      <c r="O148" s="289"/>
      <c r="P148" s="289"/>
      <c r="Q148" s="289"/>
      <c r="R148" s="218"/>
      <c r="T148" s="143"/>
      <c r="W148" s="144"/>
      <c r="Y148" s="144"/>
      <c r="AA148" s="145"/>
      <c r="AR148" s="161"/>
      <c r="AT148" s="161"/>
      <c r="AU148" s="161"/>
      <c r="AY148" s="161"/>
      <c r="BK148" s="146"/>
    </row>
    <row r="149" spans="2:63" s="154" customFormat="1" ht="20.100000000000001" customHeight="1" x14ac:dyDescent="0.3">
      <c r="B149" s="203"/>
      <c r="C149" s="132"/>
      <c r="D149" s="138" t="s">
        <v>303</v>
      </c>
      <c r="E149" s="234"/>
      <c r="F149" s="235"/>
      <c r="G149" s="235"/>
      <c r="H149" s="235"/>
      <c r="I149" s="235"/>
      <c r="J149" s="236"/>
      <c r="K149" s="237"/>
      <c r="L149" s="237"/>
      <c r="M149" s="231"/>
      <c r="N149" s="297">
        <f>SUM(N150:Q204)</f>
        <v>0</v>
      </c>
      <c r="O149" s="298"/>
      <c r="P149" s="298"/>
      <c r="Q149" s="298"/>
      <c r="R149" s="204"/>
      <c r="T149" s="124"/>
      <c r="U149" s="28"/>
      <c r="V149" s="125"/>
      <c r="W149" s="125"/>
      <c r="X149" s="125"/>
      <c r="Y149" s="125"/>
      <c r="Z149" s="125"/>
      <c r="AA149" s="126"/>
      <c r="BE149" s="88"/>
      <c r="BF149" s="88"/>
      <c r="BG149" s="88"/>
      <c r="BH149" s="88"/>
      <c r="BI149" s="88"/>
      <c r="BK149" s="88"/>
    </row>
    <row r="150" spans="2:63" s="154" customFormat="1" ht="20.100000000000001" customHeight="1" x14ac:dyDescent="0.3">
      <c r="B150" s="203"/>
      <c r="C150" s="179">
        <f>C148+1</f>
        <v>36</v>
      </c>
      <c r="D150" s="183"/>
      <c r="E150" s="149"/>
      <c r="F150" s="331" t="s">
        <v>304</v>
      </c>
      <c r="G150" s="332"/>
      <c r="H150" s="332"/>
      <c r="I150" s="333"/>
      <c r="J150" s="182" t="s">
        <v>112</v>
      </c>
      <c r="K150" s="180">
        <v>4</v>
      </c>
      <c r="L150" s="290">
        <v>0</v>
      </c>
      <c r="M150" s="291"/>
      <c r="N150" s="288">
        <f>ROUND(K150*L150,2)</f>
        <v>0</v>
      </c>
      <c r="O150" s="289"/>
      <c r="P150" s="289"/>
      <c r="Q150" s="289"/>
      <c r="R150" s="204"/>
      <c r="T150" s="124"/>
      <c r="U150" s="28"/>
      <c r="V150" s="125"/>
      <c r="W150" s="125"/>
      <c r="X150" s="125"/>
      <c r="Y150" s="125"/>
      <c r="Z150" s="125"/>
      <c r="AA150" s="126"/>
      <c r="BE150" s="88"/>
      <c r="BF150" s="88"/>
      <c r="BG150" s="88"/>
      <c r="BH150" s="88"/>
      <c r="BI150" s="88"/>
      <c r="BK150" s="88"/>
    </row>
    <row r="151" spans="2:63" s="154" customFormat="1" ht="20.100000000000001" customHeight="1" x14ac:dyDescent="0.3">
      <c r="B151" s="203"/>
      <c r="C151" s="179">
        <f>C150+1</f>
        <v>37</v>
      </c>
      <c r="D151" s="183"/>
      <c r="E151" s="149"/>
      <c r="F151" s="331" t="s">
        <v>305</v>
      </c>
      <c r="G151" s="332"/>
      <c r="H151" s="332"/>
      <c r="I151" s="333"/>
      <c r="J151" s="182" t="s">
        <v>112</v>
      </c>
      <c r="K151" s="180">
        <v>4</v>
      </c>
      <c r="L151" s="290">
        <v>0</v>
      </c>
      <c r="M151" s="291"/>
      <c r="N151" s="288">
        <f t="shared" ref="N151:N204" si="3">ROUND(K151*L151,2)</f>
        <v>0</v>
      </c>
      <c r="O151" s="289"/>
      <c r="P151" s="289"/>
      <c r="Q151" s="289"/>
      <c r="R151" s="204"/>
      <c r="T151" s="124"/>
      <c r="U151" s="28"/>
      <c r="V151" s="125"/>
      <c r="W151" s="125"/>
      <c r="X151" s="125"/>
      <c r="Y151" s="125"/>
      <c r="Z151" s="125"/>
      <c r="AA151" s="126"/>
      <c r="BE151" s="88"/>
      <c r="BF151" s="88"/>
      <c r="BG151" s="88"/>
      <c r="BH151" s="88"/>
      <c r="BI151" s="88"/>
      <c r="BK151" s="88"/>
    </row>
    <row r="152" spans="2:63" s="168" customFormat="1" ht="20.100000000000001" customHeight="1" x14ac:dyDescent="0.3">
      <c r="B152" s="203"/>
      <c r="C152" s="179">
        <f t="shared" ref="C152:C204" si="4">C151+1</f>
        <v>38</v>
      </c>
      <c r="D152" s="183"/>
      <c r="E152" s="149"/>
      <c r="F152" s="331" t="s">
        <v>306</v>
      </c>
      <c r="G152" s="332"/>
      <c r="H152" s="332"/>
      <c r="I152" s="333"/>
      <c r="J152" s="182" t="s">
        <v>112</v>
      </c>
      <c r="K152" s="180">
        <v>4</v>
      </c>
      <c r="L152" s="290">
        <v>0</v>
      </c>
      <c r="M152" s="291"/>
      <c r="N152" s="288">
        <f t="shared" si="3"/>
        <v>0</v>
      </c>
      <c r="O152" s="289"/>
      <c r="P152" s="289"/>
      <c r="Q152" s="289"/>
      <c r="R152" s="204"/>
      <c r="T152" s="124"/>
      <c r="U152" s="28"/>
      <c r="V152" s="125"/>
      <c r="W152" s="125"/>
      <c r="X152" s="125"/>
      <c r="Y152" s="125"/>
      <c r="Z152" s="125"/>
      <c r="AA152" s="126"/>
      <c r="BE152" s="88"/>
      <c r="BF152" s="88"/>
      <c r="BG152" s="88"/>
      <c r="BH152" s="88"/>
      <c r="BI152" s="88"/>
      <c r="BK152" s="88"/>
    </row>
    <row r="153" spans="2:63" s="168" customFormat="1" ht="20.100000000000001" customHeight="1" x14ac:dyDescent="0.3">
      <c r="B153" s="203"/>
      <c r="C153" s="179">
        <f t="shared" si="4"/>
        <v>39</v>
      </c>
      <c r="D153" s="183"/>
      <c r="E153" s="149"/>
      <c r="F153" s="331" t="s">
        <v>307</v>
      </c>
      <c r="G153" s="332"/>
      <c r="H153" s="332"/>
      <c r="I153" s="333"/>
      <c r="J153" s="182" t="s">
        <v>112</v>
      </c>
      <c r="K153" s="180">
        <v>4</v>
      </c>
      <c r="L153" s="290">
        <v>0</v>
      </c>
      <c r="M153" s="291"/>
      <c r="N153" s="288">
        <f t="shared" si="3"/>
        <v>0</v>
      </c>
      <c r="O153" s="289"/>
      <c r="P153" s="289"/>
      <c r="Q153" s="289"/>
      <c r="R153" s="204"/>
      <c r="T153" s="124"/>
      <c r="U153" s="28"/>
      <c r="V153" s="125"/>
      <c r="W153" s="125"/>
      <c r="X153" s="125"/>
      <c r="Y153" s="125"/>
      <c r="Z153" s="125"/>
      <c r="AA153" s="126"/>
      <c r="BE153" s="88"/>
      <c r="BF153" s="88"/>
      <c r="BG153" s="88"/>
      <c r="BH153" s="88"/>
      <c r="BI153" s="88"/>
      <c r="BK153" s="88"/>
    </row>
    <row r="154" spans="2:63" s="154" customFormat="1" ht="20.100000000000001" customHeight="1" x14ac:dyDescent="0.3">
      <c r="B154" s="203"/>
      <c r="C154" s="179">
        <f t="shared" si="4"/>
        <v>40</v>
      </c>
      <c r="D154" s="183"/>
      <c r="E154" s="149"/>
      <c r="F154" s="331" t="s">
        <v>308</v>
      </c>
      <c r="G154" s="332"/>
      <c r="H154" s="332"/>
      <c r="I154" s="333"/>
      <c r="J154" s="182" t="s">
        <v>112</v>
      </c>
      <c r="K154" s="180">
        <v>1</v>
      </c>
      <c r="L154" s="290">
        <v>0</v>
      </c>
      <c r="M154" s="291"/>
      <c r="N154" s="288">
        <f t="shared" si="3"/>
        <v>0</v>
      </c>
      <c r="O154" s="289"/>
      <c r="P154" s="289"/>
      <c r="Q154" s="289"/>
      <c r="R154" s="204"/>
      <c r="T154" s="124"/>
      <c r="U154" s="28"/>
      <c r="V154" s="125"/>
      <c r="W154" s="125"/>
      <c r="X154" s="125"/>
      <c r="Y154" s="125"/>
      <c r="Z154" s="125"/>
      <c r="AA154" s="126"/>
      <c r="BE154" s="88"/>
      <c r="BF154" s="88"/>
      <c r="BG154" s="88"/>
      <c r="BH154" s="88"/>
      <c r="BI154" s="88"/>
      <c r="BK154" s="88"/>
    </row>
    <row r="155" spans="2:63" s="188" customFormat="1" ht="20.100000000000001" customHeight="1" x14ac:dyDescent="0.3">
      <c r="B155" s="203"/>
      <c r="C155" s="179">
        <f t="shared" si="4"/>
        <v>41</v>
      </c>
      <c r="D155" s="183"/>
      <c r="E155" s="149"/>
      <c r="F155" s="331" t="s">
        <v>309</v>
      </c>
      <c r="G155" s="332"/>
      <c r="H155" s="332"/>
      <c r="I155" s="333"/>
      <c r="J155" s="182" t="s">
        <v>107</v>
      </c>
      <c r="K155" s="180">
        <v>15</v>
      </c>
      <c r="L155" s="290">
        <v>0</v>
      </c>
      <c r="M155" s="291"/>
      <c r="N155" s="288">
        <f t="shared" si="3"/>
        <v>0</v>
      </c>
      <c r="O155" s="289"/>
      <c r="P155" s="289"/>
      <c r="Q155" s="289"/>
      <c r="R155" s="204"/>
      <c r="T155" s="124"/>
      <c r="U155" s="177"/>
      <c r="V155" s="181"/>
      <c r="W155" s="181"/>
      <c r="X155" s="181"/>
      <c r="Y155" s="181"/>
      <c r="Z155" s="181"/>
      <c r="AA155" s="126"/>
      <c r="BE155" s="178"/>
      <c r="BF155" s="178"/>
      <c r="BG155" s="178"/>
      <c r="BH155" s="178"/>
      <c r="BI155" s="178"/>
      <c r="BK155" s="178"/>
    </row>
    <row r="156" spans="2:63" s="154" customFormat="1" ht="20.100000000000001" customHeight="1" x14ac:dyDescent="0.3">
      <c r="B156" s="203"/>
      <c r="C156" s="179">
        <f t="shared" si="4"/>
        <v>42</v>
      </c>
      <c r="D156" s="183"/>
      <c r="E156" s="149"/>
      <c r="F156" s="331" t="s">
        <v>310</v>
      </c>
      <c r="G156" s="332"/>
      <c r="H156" s="332"/>
      <c r="I156" s="333"/>
      <c r="J156" s="182" t="s">
        <v>107</v>
      </c>
      <c r="K156" s="180">
        <v>5</v>
      </c>
      <c r="L156" s="290">
        <v>0</v>
      </c>
      <c r="M156" s="291"/>
      <c r="N156" s="288">
        <f t="shared" si="3"/>
        <v>0</v>
      </c>
      <c r="O156" s="289"/>
      <c r="P156" s="289"/>
      <c r="Q156" s="289"/>
      <c r="R156" s="204"/>
      <c r="T156" s="124"/>
      <c r="U156" s="28"/>
      <c r="V156" s="125"/>
      <c r="W156" s="125"/>
      <c r="X156" s="125"/>
      <c r="Y156" s="125"/>
      <c r="Z156" s="125"/>
      <c r="AA156" s="126"/>
      <c r="BE156" s="88"/>
      <c r="BF156" s="88"/>
      <c r="BG156" s="88"/>
      <c r="BH156" s="88"/>
      <c r="BI156" s="88"/>
      <c r="BK156" s="88"/>
    </row>
    <row r="157" spans="2:63" s="154" customFormat="1" ht="20.100000000000001" customHeight="1" x14ac:dyDescent="0.3">
      <c r="B157" s="203"/>
      <c r="C157" s="179">
        <f t="shared" si="4"/>
        <v>43</v>
      </c>
      <c r="D157" s="183"/>
      <c r="E157" s="149"/>
      <c r="F157" s="331" t="s">
        <v>311</v>
      </c>
      <c r="G157" s="332"/>
      <c r="H157" s="332"/>
      <c r="I157" s="333"/>
      <c r="J157" s="182" t="s">
        <v>107</v>
      </c>
      <c r="K157" s="180">
        <v>15</v>
      </c>
      <c r="L157" s="290">
        <v>0</v>
      </c>
      <c r="M157" s="291"/>
      <c r="N157" s="288">
        <f t="shared" si="3"/>
        <v>0</v>
      </c>
      <c r="O157" s="289"/>
      <c r="P157" s="289"/>
      <c r="Q157" s="289"/>
      <c r="R157" s="204"/>
      <c r="T157" s="124"/>
      <c r="U157" s="28"/>
      <c r="V157" s="125"/>
      <c r="W157" s="125"/>
      <c r="X157" s="125"/>
      <c r="Y157" s="125"/>
      <c r="Z157" s="125"/>
      <c r="AA157" s="126"/>
      <c r="BE157" s="88"/>
      <c r="BF157" s="88"/>
      <c r="BG157" s="88"/>
      <c r="BH157" s="88"/>
      <c r="BI157" s="88"/>
      <c r="BK157" s="88"/>
    </row>
    <row r="158" spans="2:63" s="154" customFormat="1" ht="20.100000000000001" customHeight="1" x14ac:dyDescent="0.3">
      <c r="B158" s="203"/>
      <c r="C158" s="179">
        <f t="shared" si="4"/>
        <v>44</v>
      </c>
      <c r="D158" s="183"/>
      <c r="E158" s="149"/>
      <c r="F158" s="331" t="s">
        <v>312</v>
      </c>
      <c r="G158" s="332"/>
      <c r="H158" s="332"/>
      <c r="I158" s="333"/>
      <c r="J158" s="182" t="s">
        <v>107</v>
      </c>
      <c r="K158" s="180">
        <v>5</v>
      </c>
      <c r="L158" s="290">
        <v>0</v>
      </c>
      <c r="M158" s="291"/>
      <c r="N158" s="288">
        <f t="shared" si="3"/>
        <v>0</v>
      </c>
      <c r="O158" s="289"/>
      <c r="P158" s="289"/>
      <c r="Q158" s="289"/>
      <c r="R158" s="204"/>
      <c r="T158" s="124"/>
      <c r="U158" s="28"/>
      <c r="V158" s="125"/>
      <c r="W158" s="125"/>
      <c r="X158" s="125"/>
      <c r="Y158" s="125"/>
      <c r="Z158" s="125"/>
      <c r="AA158" s="126"/>
      <c r="BE158" s="88"/>
      <c r="BF158" s="88"/>
      <c r="BG158" s="88"/>
      <c r="BH158" s="88"/>
      <c r="BI158" s="88"/>
      <c r="BK158" s="88"/>
    </row>
    <row r="159" spans="2:63" s="154" customFormat="1" ht="20.100000000000001" customHeight="1" x14ac:dyDescent="0.3">
      <c r="B159" s="203"/>
      <c r="C159" s="179">
        <f t="shared" si="4"/>
        <v>45</v>
      </c>
      <c r="D159" s="183"/>
      <c r="E159" s="149"/>
      <c r="F159" s="331" t="s">
        <v>313</v>
      </c>
      <c r="G159" s="332"/>
      <c r="H159" s="332"/>
      <c r="I159" s="333"/>
      <c r="J159" s="182" t="s">
        <v>107</v>
      </c>
      <c r="K159" s="180">
        <v>5</v>
      </c>
      <c r="L159" s="290">
        <v>0</v>
      </c>
      <c r="M159" s="291"/>
      <c r="N159" s="288">
        <f t="shared" si="3"/>
        <v>0</v>
      </c>
      <c r="O159" s="289"/>
      <c r="P159" s="289"/>
      <c r="Q159" s="289"/>
      <c r="R159" s="204"/>
      <c r="T159" s="124"/>
      <c r="U159" s="28"/>
      <c r="V159" s="125"/>
      <c r="W159" s="125"/>
      <c r="X159" s="125"/>
      <c r="Y159" s="125"/>
      <c r="Z159" s="125"/>
      <c r="AA159" s="126"/>
      <c r="BE159" s="88"/>
      <c r="BF159" s="88"/>
      <c r="BG159" s="88"/>
      <c r="BH159" s="88"/>
      <c r="BI159" s="88"/>
      <c r="BK159" s="88"/>
    </row>
    <row r="160" spans="2:63" s="197" customFormat="1" ht="20.100000000000001" customHeight="1" x14ac:dyDescent="0.3">
      <c r="B160" s="203"/>
      <c r="C160" s="179">
        <f t="shared" si="4"/>
        <v>46</v>
      </c>
      <c r="D160" s="183"/>
      <c r="E160" s="149"/>
      <c r="F160" s="331" t="s">
        <v>314</v>
      </c>
      <c r="G160" s="332"/>
      <c r="H160" s="332"/>
      <c r="I160" s="333"/>
      <c r="J160" s="182" t="s">
        <v>107</v>
      </c>
      <c r="K160" s="180">
        <v>25</v>
      </c>
      <c r="L160" s="290">
        <v>0</v>
      </c>
      <c r="M160" s="291"/>
      <c r="N160" s="288">
        <f t="shared" si="3"/>
        <v>0</v>
      </c>
      <c r="O160" s="289"/>
      <c r="P160" s="289"/>
      <c r="Q160" s="289"/>
      <c r="R160" s="204"/>
      <c r="T160" s="124"/>
      <c r="U160" s="177"/>
      <c r="V160" s="181"/>
      <c r="W160" s="181"/>
      <c r="X160" s="181"/>
      <c r="Y160" s="181"/>
      <c r="Z160" s="181"/>
      <c r="AA160" s="126"/>
      <c r="BE160" s="178"/>
      <c r="BF160" s="178"/>
      <c r="BG160" s="178"/>
      <c r="BH160" s="178"/>
      <c r="BI160" s="178"/>
      <c r="BK160" s="178"/>
    </row>
    <row r="161" spans="1:63" s="154" customFormat="1" ht="20.100000000000001" customHeight="1" x14ac:dyDescent="0.3">
      <c r="B161" s="203"/>
      <c r="C161" s="179">
        <f t="shared" si="4"/>
        <v>47</v>
      </c>
      <c r="D161" s="183"/>
      <c r="E161" s="149"/>
      <c r="F161" s="331" t="s">
        <v>315</v>
      </c>
      <c r="G161" s="332"/>
      <c r="H161" s="332"/>
      <c r="I161" s="333"/>
      <c r="J161" s="182" t="s">
        <v>107</v>
      </c>
      <c r="K161" s="180">
        <v>15</v>
      </c>
      <c r="L161" s="290">
        <v>0</v>
      </c>
      <c r="M161" s="291"/>
      <c r="N161" s="288">
        <f t="shared" si="3"/>
        <v>0</v>
      </c>
      <c r="O161" s="289"/>
      <c r="P161" s="289"/>
      <c r="Q161" s="289"/>
      <c r="R161" s="204"/>
      <c r="T161" s="124"/>
      <c r="U161" s="28"/>
      <c r="V161" s="125"/>
      <c r="W161" s="125"/>
      <c r="X161" s="125"/>
      <c r="Y161" s="125"/>
      <c r="Z161" s="125"/>
      <c r="AA161" s="126"/>
      <c r="BE161" s="88"/>
      <c r="BF161" s="88"/>
      <c r="BG161" s="88"/>
      <c r="BH161" s="88"/>
      <c r="BI161" s="88"/>
      <c r="BK161" s="88"/>
    </row>
    <row r="162" spans="1:63" s="154" customFormat="1" ht="20.100000000000001" customHeight="1" x14ac:dyDescent="0.3">
      <c r="B162" s="203"/>
      <c r="C162" s="179">
        <f t="shared" si="4"/>
        <v>48</v>
      </c>
      <c r="D162" s="183"/>
      <c r="E162" s="149"/>
      <c r="F162" s="331" t="s">
        <v>316</v>
      </c>
      <c r="G162" s="332"/>
      <c r="H162" s="332"/>
      <c r="I162" s="333"/>
      <c r="J162" s="182" t="s">
        <v>107</v>
      </c>
      <c r="K162" s="180">
        <v>10</v>
      </c>
      <c r="L162" s="290">
        <v>0</v>
      </c>
      <c r="M162" s="291"/>
      <c r="N162" s="288">
        <f t="shared" si="3"/>
        <v>0</v>
      </c>
      <c r="O162" s="289"/>
      <c r="P162" s="289"/>
      <c r="Q162" s="289"/>
      <c r="R162" s="204"/>
      <c r="T162" s="124"/>
      <c r="U162" s="28"/>
      <c r="V162" s="125"/>
      <c r="W162" s="125"/>
      <c r="X162" s="125"/>
      <c r="Y162" s="125"/>
      <c r="Z162" s="125"/>
      <c r="AA162" s="126"/>
      <c r="BE162" s="88"/>
      <c r="BF162" s="88"/>
      <c r="BG162" s="88"/>
      <c r="BH162" s="88"/>
      <c r="BI162" s="88"/>
      <c r="BK162" s="88"/>
    </row>
    <row r="163" spans="1:63" s="154" customFormat="1" ht="20.100000000000001" customHeight="1" x14ac:dyDescent="0.3">
      <c r="B163" s="203"/>
      <c r="C163" s="179">
        <f t="shared" si="4"/>
        <v>49</v>
      </c>
      <c r="D163" s="183"/>
      <c r="E163" s="149"/>
      <c r="F163" s="331" t="s">
        <v>317</v>
      </c>
      <c r="G163" s="332"/>
      <c r="H163" s="332"/>
      <c r="I163" s="333"/>
      <c r="J163" s="182" t="s">
        <v>107</v>
      </c>
      <c r="K163" s="180">
        <v>30</v>
      </c>
      <c r="L163" s="290">
        <v>0</v>
      </c>
      <c r="M163" s="291"/>
      <c r="N163" s="288">
        <f t="shared" si="3"/>
        <v>0</v>
      </c>
      <c r="O163" s="289"/>
      <c r="P163" s="289"/>
      <c r="Q163" s="289"/>
      <c r="R163" s="204"/>
      <c r="T163" s="124"/>
      <c r="U163" s="28"/>
      <c r="V163" s="125"/>
      <c r="W163" s="125"/>
      <c r="X163" s="125"/>
      <c r="Y163" s="125"/>
      <c r="Z163" s="125"/>
      <c r="AA163" s="126"/>
      <c r="BE163" s="88"/>
      <c r="BF163" s="88"/>
      <c r="BG163" s="88"/>
      <c r="BH163" s="88"/>
      <c r="BI163" s="88"/>
      <c r="BK163" s="88"/>
    </row>
    <row r="164" spans="1:63" s="154" customFormat="1" ht="20.100000000000001" customHeight="1" x14ac:dyDescent="0.3">
      <c r="B164" s="203"/>
      <c r="C164" s="179">
        <f t="shared" si="4"/>
        <v>50</v>
      </c>
      <c r="D164" s="183"/>
      <c r="E164" s="149"/>
      <c r="F164" s="331" t="s">
        <v>318</v>
      </c>
      <c r="G164" s="332"/>
      <c r="H164" s="332"/>
      <c r="I164" s="333"/>
      <c r="J164" s="182" t="s">
        <v>107</v>
      </c>
      <c r="K164" s="180">
        <v>5</v>
      </c>
      <c r="L164" s="290">
        <v>0</v>
      </c>
      <c r="M164" s="291"/>
      <c r="N164" s="288">
        <f t="shared" si="3"/>
        <v>0</v>
      </c>
      <c r="O164" s="289"/>
      <c r="P164" s="289"/>
      <c r="Q164" s="289"/>
      <c r="R164" s="204"/>
      <c r="T164" s="124"/>
      <c r="U164" s="28"/>
      <c r="V164" s="125"/>
      <c r="W164" s="125"/>
      <c r="X164" s="125"/>
      <c r="Y164" s="125"/>
      <c r="Z164" s="125"/>
      <c r="AA164" s="126"/>
      <c r="BE164" s="88"/>
      <c r="BF164" s="88"/>
      <c r="BG164" s="88"/>
      <c r="BH164" s="88"/>
      <c r="BI164" s="88"/>
      <c r="BK164" s="88"/>
    </row>
    <row r="165" spans="1:63" s="154" customFormat="1" ht="20.100000000000001" customHeight="1" x14ac:dyDescent="0.3">
      <c r="B165" s="203"/>
      <c r="C165" s="179">
        <f t="shared" si="4"/>
        <v>51</v>
      </c>
      <c r="D165" s="183"/>
      <c r="E165" s="149"/>
      <c r="F165" s="331" t="s">
        <v>319</v>
      </c>
      <c r="G165" s="332"/>
      <c r="H165" s="332"/>
      <c r="I165" s="333"/>
      <c r="J165" s="182" t="s">
        <v>107</v>
      </c>
      <c r="K165" s="180">
        <v>5</v>
      </c>
      <c r="L165" s="290">
        <v>0</v>
      </c>
      <c r="M165" s="291"/>
      <c r="N165" s="288">
        <f t="shared" si="3"/>
        <v>0</v>
      </c>
      <c r="O165" s="289"/>
      <c r="P165" s="289"/>
      <c r="Q165" s="289"/>
      <c r="R165" s="204"/>
      <c r="T165" s="133"/>
      <c r="U165" s="28"/>
      <c r="V165" s="125"/>
      <c r="W165" s="125"/>
      <c r="X165" s="125"/>
      <c r="Y165" s="125"/>
      <c r="Z165" s="125"/>
      <c r="AA165" s="126"/>
      <c r="BE165" s="88"/>
      <c r="BF165" s="88"/>
      <c r="BG165" s="88"/>
      <c r="BH165" s="88"/>
      <c r="BI165" s="88"/>
      <c r="BK165" s="88"/>
    </row>
    <row r="166" spans="1:63" s="154" customFormat="1" ht="20.100000000000001" customHeight="1" x14ac:dyDescent="0.3">
      <c r="B166" s="203"/>
      <c r="C166" s="179">
        <f t="shared" si="4"/>
        <v>52</v>
      </c>
      <c r="D166" s="183"/>
      <c r="E166" s="149"/>
      <c r="F166" s="331" t="s">
        <v>320</v>
      </c>
      <c r="G166" s="332"/>
      <c r="H166" s="332"/>
      <c r="I166" s="333"/>
      <c r="J166" s="182" t="s">
        <v>112</v>
      </c>
      <c r="K166" s="180">
        <v>50</v>
      </c>
      <c r="L166" s="290">
        <v>0</v>
      </c>
      <c r="M166" s="291"/>
      <c r="N166" s="288">
        <f t="shared" si="3"/>
        <v>0</v>
      </c>
      <c r="O166" s="289"/>
      <c r="P166" s="289"/>
      <c r="Q166" s="289"/>
      <c r="R166" s="204"/>
      <c r="T166" s="133"/>
      <c r="U166" s="28"/>
      <c r="V166" s="125"/>
      <c r="W166" s="125"/>
      <c r="X166" s="125"/>
      <c r="Y166" s="125"/>
      <c r="Z166" s="125"/>
      <c r="AA166" s="126"/>
      <c r="BE166" s="88"/>
      <c r="BF166" s="88"/>
      <c r="BG166" s="88"/>
      <c r="BH166" s="88"/>
      <c r="BI166" s="88"/>
      <c r="BK166" s="88"/>
    </row>
    <row r="167" spans="1:63" s="154" customFormat="1" ht="20.100000000000001" customHeight="1" x14ac:dyDescent="0.3">
      <c r="B167" s="203"/>
      <c r="C167" s="179">
        <f t="shared" si="4"/>
        <v>53</v>
      </c>
      <c r="D167" s="183"/>
      <c r="E167" s="149"/>
      <c r="F167" s="331" t="s">
        <v>321</v>
      </c>
      <c r="G167" s="332"/>
      <c r="H167" s="332"/>
      <c r="I167" s="333"/>
      <c r="J167" s="182" t="s">
        <v>112</v>
      </c>
      <c r="K167" s="180">
        <v>50</v>
      </c>
      <c r="L167" s="290">
        <v>0</v>
      </c>
      <c r="M167" s="291"/>
      <c r="N167" s="288">
        <f t="shared" si="3"/>
        <v>0</v>
      </c>
      <c r="O167" s="289"/>
      <c r="P167" s="289"/>
      <c r="Q167" s="289"/>
      <c r="R167" s="204"/>
      <c r="T167" s="124"/>
      <c r="U167" s="28"/>
      <c r="V167" s="125"/>
      <c r="W167" s="125"/>
      <c r="X167" s="125"/>
      <c r="Y167" s="125"/>
      <c r="Z167" s="125"/>
      <c r="AA167" s="126"/>
      <c r="BE167" s="88"/>
      <c r="BF167" s="88"/>
      <c r="BG167" s="88"/>
      <c r="BH167" s="88"/>
      <c r="BI167" s="88"/>
      <c r="BK167" s="88"/>
    </row>
    <row r="168" spans="1:63" s="154" customFormat="1" ht="20.100000000000001" customHeight="1" x14ac:dyDescent="0.3">
      <c r="B168" s="203"/>
      <c r="C168" s="179">
        <f t="shared" si="4"/>
        <v>54</v>
      </c>
      <c r="D168" s="183"/>
      <c r="E168" s="149"/>
      <c r="F168" s="331" t="s">
        <v>322</v>
      </c>
      <c r="G168" s="332"/>
      <c r="H168" s="332"/>
      <c r="I168" s="333"/>
      <c r="J168" s="182" t="s">
        <v>112</v>
      </c>
      <c r="K168" s="180">
        <v>50</v>
      </c>
      <c r="L168" s="290">
        <v>0</v>
      </c>
      <c r="M168" s="291"/>
      <c r="N168" s="288">
        <f t="shared" si="3"/>
        <v>0</v>
      </c>
      <c r="O168" s="289"/>
      <c r="P168" s="289"/>
      <c r="Q168" s="289"/>
      <c r="R168" s="204"/>
      <c r="T168" s="124"/>
      <c r="U168" s="28"/>
      <c r="V168" s="125"/>
      <c r="W168" s="125"/>
      <c r="X168" s="125"/>
      <c r="Y168" s="125"/>
      <c r="Z168" s="125"/>
      <c r="AA168" s="126"/>
      <c r="BE168" s="88"/>
      <c r="BF168" s="88"/>
      <c r="BG168" s="88"/>
      <c r="BH168" s="88"/>
      <c r="BI168" s="88"/>
      <c r="BK168" s="88"/>
    </row>
    <row r="169" spans="1:63" s="154" customFormat="1" ht="20.100000000000001" customHeight="1" x14ac:dyDescent="0.3">
      <c r="B169" s="203"/>
      <c r="C169" s="179">
        <f t="shared" si="4"/>
        <v>55</v>
      </c>
      <c r="D169" s="183"/>
      <c r="E169" s="149"/>
      <c r="F169" s="331" t="s">
        <v>323</v>
      </c>
      <c r="G169" s="332"/>
      <c r="H169" s="332"/>
      <c r="I169" s="333"/>
      <c r="J169" s="182" t="s">
        <v>107</v>
      </c>
      <c r="K169" s="180">
        <v>5</v>
      </c>
      <c r="L169" s="290">
        <v>0</v>
      </c>
      <c r="M169" s="291"/>
      <c r="N169" s="288">
        <f t="shared" si="3"/>
        <v>0</v>
      </c>
      <c r="O169" s="289"/>
      <c r="P169" s="289"/>
      <c r="Q169" s="289"/>
      <c r="R169" s="204"/>
      <c r="T169" s="124"/>
      <c r="U169" s="28"/>
      <c r="V169" s="125"/>
      <c r="W169" s="125"/>
      <c r="X169" s="125"/>
      <c r="Y169" s="125"/>
      <c r="Z169" s="125"/>
      <c r="AA169" s="126"/>
      <c r="BE169" s="88"/>
      <c r="BF169" s="88"/>
      <c r="BG169" s="88"/>
      <c r="BH169" s="88"/>
      <c r="BI169" s="88"/>
      <c r="BK169" s="88"/>
    </row>
    <row r="170" spans="1:63" s="154" customFormat="1" ht="20.100000000000001" customHeight="1" x14ac:dyDescent="0.3">
      <c r="B170" s="203"/>
      <c r="C170" s="179">
        <f t="shared" si="4"/>
        <v>56</v>
      </c>
      <c r="D170" s="183"/>
      <c r="E170" s="149"/>
      <c r="F170" s="331" t="s">
        <v>324</v>
      </c>
      <c r="G170" s="332"/>
      <c r="H170" s="332"/>
      <c r="I170" s="333"/>
      <c r="J170" s="182" t="s">
        <v>112</v>
      </c>
      <c r="K170" s="180">
        <v>4</v>
      </c>
      <c r="L170" s="290">
        <v>0</v>
      </c>
      <c r="M170" s="291"/>
      <c r="N170" s="288">
        <f t="shared" si="3"/>
        <v>0</v>
      </c>
      <c r="O170" s="289"/>
      <c r="P170" s="289"/>
      <c r="Q170" s="289"/>
      <c r="R170" s="204"/>
      <c r="T170" s="124"/>
      <c r="U170" s="28"/>
      <c r="V170" s="125"/>
      <c r="W170" s="125"/>
      <c r="X170" s="125"/>
      <c r="Y170" s="125"/>
      <c r="Z170" s="125"/>
      <c r="AA170" s="126"/>
      <c r="BE170" s="88"/>
      <c r="BF170" s="88"/>
      <c r="BG170" s="88"/>
      <c r="BH170" s="88"/>
      <c r="BI170" s="88"/>
      <c r="BK170" s="88"/>
    </row>
    <row r="171" spans="1:63" s="154" customFormat="1" ht="20.100000000000001" customHeight="1" x14ac:dyDescent="0.3">
      <c r="B171" s="221"/>
      <c r="C171" s="179">
        <f t="shared" si="4"/>
        <v>57</v>
      </c>
      <c r="D171" s="183"/>
      <c r="E171" s="149"/>
      <c r="F171" s="331" t="s">
        <v>325</v>
      </c>
      <c r="G171" s="332"/>
      <c r="H171" s="332"/>
      <c r="I171" s="333"/>
      <c r="J171" s="182" t="s">
        <v>107</v>
      </c>
      <c r="K171" s="180">
        <v>30</v>
      </c>
      <c r="L171" s="290">
        <v>0</v>
      </c>
      <c r="M171" s="291"/>
      <c r="N171" s="288">
        <f t="shared" si="3"/>
        <v>0</v>
      </c>
      <c r="O171" s="289"/>
      <c r="P171" s="289"/>
      <c r="Q171" s="289"/>
      <c r="R171" s="204"/>
    </row>
    <row r="172" spans="1:63" ht="20.100000000000001" customHeight="1" x14ac:dyDescent="0.3">
      <c r="B172" s="207"/>
      <c r="C172" s="179">
        <f t="shared" si="4"/>
        <v>58</v>
      </c>
      <c r="D172" s="183"/>
      <c r="E172" s="149"/>
      <c r="F172" s="331" t="s">
        <v>326</v>
      </c>
      <c r="G172" s="332"/>
      <c r="H172" s="332"/>
      <c r="I172" s="333"/>
      <c r="J172" s="182" t="s">
        <v>107</v>
      </c>
      <c r="K172" s="180">
        <v>500</v>
      </c>
      <c r="L172" s="290">
        <v>0</v>
      </c>
      <c r="M172" s="291"/>
      <c r="N172" s="288">
        <f t="shared" si="3"/>
        <v>0</v>
      </c>
      <c r="O172" s="289"/>
      <c r="P172" s="289"/>
      <c r="Q172" s="289"/>
      <c r="R172" s="222"/>
    </row>
    <row r="173" spans="1:63" ht="20.100000000000001" customHeight="1" x14ac:dyDescent="0.3">
      <c r="B173" s="207"/>
      <c r="C173" s="179">
        <f t="shared" si="4"/>
        <v>59</v>
      </c>
      <c r="D173" s="183"/>
      <c r="E173" s="149"/>
      <c r="F173" s="331" t="s">
        <v>327</v>
      </c>
      <c r="G173" s="332"/>
      <c r="H173" s="332"/>
      <c r="I173" s="333"/>
      <c r="J173" s="182" t="s">
        <v>112</v>
      </c>
      <c r="K173" s="180">
        <v>10</v>
      </c>
      <c r="L173" s="290">
        <v>0</v>
      </c>
      <c r="M173" s="291"/>
      <c r="N173" s="288">
        <f t="shared" si="3"/>
        <v>0</v>
      </c>
      <c r="O173" s="289"/>
      <c r="P173" s="289"/>
      <c r="Q173" s="289"/>
      <c r="R173" s="209"/>
    </row>
    <row r="174" spans="1:63" ht="20.100000000000001" customHeight="1" x14ac:dyDescent="0.3">
      <c r="B174" s="207"/>
      <c r="C174" s="179">
        <f t="shared" si="4"/>
        <v>60</v>
      </c>
      <c r="D174" s="183"/>
      <c r="E174" s="149"/>
      <c r="F174" s="331" t="s">
        <v>328</v>
      </c>
      <c r="G174" s="332"/>
      <c r="H174" s="332"/>
      <c r="I174" s="333"/>
      <c r="J174" s="182" t="s">
        <v>112</v>
      </c>
      <c r="K174" s="180">
        <v>11</v>
      </c>
      <c r="L174" s="290">
        <v>0</v>
      </c>
      <c r="M174" s="291"/>
      <c r="N174" s="288">
        <f t="shared" si="3"/>
        <v>0</v>
      </c>
      <c r="O174" s="289"/>
      <c r="P174" s="289"/>
      <c r="Q174" s="289"/>
      <c r="R174" s="209"/>
    </row>
    <row r="175" spans="1:63" ht="20.100000000000001" customHeight="1" x14ac:dyDescent="0.3">
      <c r="A175" s="209"/>
      <c r="B175" s="229"/>
      <c r="C175" s="179">
        <f t="shared" si="4"/>
        <v>61</v>
      </c>
      <c r="D175" s="183"/>
      <c r="E175" s="149"/>
      <c r="F175" s="331" t="s">
        <v>329</v>
      </c>
      <c r="G175" s="332"/>
      <c r="H175" s="332"/>
      <c r="I175" s="333"/>
      <c r="J175" s="182" t="s">
        <v>112</v>
      </c>
      <c r="K175" s="180">
        <v>10</v>
      </c>
      <c r="L175" s="290">
        <v>0</v>
      </c>
      <c r="M175" s="291"/>
      <c r="N175" s="288">
        <f t="shared" si="3"/>
        <v>0</v>
      </c>
      <c r="O175" s="289"/>
      <c r="P175" s="289"/>
      <c r="Q175" s="289"/>
      <c r="R175" s="209"/>
    </row>
    <row r="176" spans="1:63" ht="20.100000000000001" customHeight="1" x14ac:dyDescent="0.3">
      <c r="A176" s="209"/>
      <c r="B176" s="229"/>
      <c r="C176" s="179">
        <f t="shared" si="4"/>
        <v>62</v>
      </c>
      <c r="D176" s="183"/>
      <c r="E176" s="149"/>
      <c r="F176" s="331" t="s">
        <v>330</v>
      </c>
      <c r="G176" s="332"/>
      <c r="H176" s="332"/>
      <c r="I176" s="333"/>
      <c r="J176" s="182" t="s">
        <v>112</v>
      </c>
      <c r="K176" s="180">
        <v>12</v>
      </c>
      <c r="L176" s="290">
        <v>0</v>
      </c>
      <c r="M176" s="291"/>
      <c r="N176" s="288">
        <f t="shared" si="3"/>
        <v>0</v>
      </c>
      <c r="O176" s="289"/>
      <c r="P176" s="289"/>
      <c r="Q176" s="289"/>
      <c r="R176" s="209"/>
    </row>
    <row r="177" spans="1:18" ht="30" customHeight="1" x14ac:dyDescent="0.3">
      <c r="A177" s="209"/>
      <c r="B177" s="228"/>
      <c r="C177" s="179">
        <f t="shared" si="4"/>
        <v>63</v>
      </c>
      <c r="D177" s="183"/>
      <c r="E177" s="149"/>
      <c r="F177" s="331" t="s">
        <v>331</v>
      </c>
      <c r="G177" s="332"/>
      <c r="H177" s="332"/>
      <c r="I177" s="333"/>
      <c r="J177" s="182" t="s">
        <v>112</v>
      </c>
      <c r="K177" s="180">
        <v>6</v>
      </c>
      <c r="L177" s="290">
        <v>0</v>
      </c>
      <c r="M177" s="291"/>
      <c r="N177" s="288">
        <f t="shared" si="3"/>
        <v>0</v>
      </c>
      <c r="O177" s="289"/>
      <c r="P177" s="289"/>
      <c r="Q177" s="289"/>
      <c r="R177" s="209"/>
    </row>
    <row r="178" spans="1:18" ht="20.100000000000001" customHeight="1" x14ac:dyDescent="0.3">
      <c r="B178" s="238"/>
      <c r="C178" s="179">
        <f t="shared" si="4"/>
        <v>64</v>
      </c>
      <c r="D178" s="183"/>
      <c r="E178" s="149"/>
      <c r="F178" s="331" t="s">
        <v>332</v>
      </c>
      <c r="G178" s="332"/>
      <c r="H178" s="332"/>
      <c r="I178" s="333"/>
      <c r="J178" s="182" t="s">
        <v>112</v>
      </c>
      <c r="K178" s="180">
        <v>4</v>
      </c>
      <c r="L178" s="290">
        <v>0</v>
      </c>
      <c r="M178" s="291"/>
      <c r="N178" s="288">
        <f t="shared" si="3"/>
        <v>0</v>
      </c>
      <c r="O178" s="289"/>
      <c r="P178" s="289"/>
      <c r="Q178" s="289"/>
      <c r="R178" s="222"/>
    </row>
    <row r="179" spans="1:18" ht="30" customHeight="1" x14ac:dyDescent="0.3">
      <c r="A179" s="209"/>
      <c r="C179" s="179">
        <f t="shared" si="4"/>
        <v>65</v>
      </c>
      <c r="D179" s="183"/>
      <c r="E179" s="149"/>
      <c r="F179" s="331" t="s">
        <v>333</v>
      </c>
      <c r="G179" s="332"/>
      <c r="H179" s="332"/>
      <c r="I179" s="333"/>
      <c r="J179" s="182" t="s">
        <v>112</v>
      </c>
      <c r="K179" s="180">
        <v>4</v>
      </c>
      <c r="L179" s="290">
        <v>0</v>
      </c>
      <c r="M179" s="291"/>
      <c r="N179" s="288">
        <f t="shared" si="3"/>
        <v>0</v>
      </c>
      <c r="O179" s="289"/>
      <c r="P179" s="289"/>
      <c r="Q179" s="289"/>
      <c r="R179" s="209"/>
    </row>
    <row r="180" spans="1:18" ht="30" customHeight="1" x14ac:dyDescent="0.3">
      <c r="A180" s="209"/>
      <c r="C180" s="179">
        <f t="shared" si="4"/>
        <v>66</v>
      </c>
      <c r="D180" s="183"/>
      <c r="E180" s="149"/>
      <c r="F180" s="331" t="s">
        <v>334</v>
      </c>
      <c r="G180" s="332"/>
      <c r="H180" s="332"/>
      <c r="I180" s="333"/>
      <c r="J180" s="182" t="s">
        <v>112</v>
      </c>
      <c r="K180" s="180">
        <v>1</v>
      </c>
      <c r="L180" s="290">
        <v>0</v>
      </c>
      <c r="M180" s="291"/>
      <c r="N180" s="288">
        <f t="shared" si="3"/>
        <v>0</v>
      </c>
      <c r="O180" s="289"/>
      <c r="P180" s="289"/>
      <c r="Q180" s="289"/>
      <c r="R180" s="209"/>
    </row>
    <row r="181" spans="1:18" ht="60" customHeight="1" x14ac:dyDescent="0.3">
      <c r="A181" s="209"/>
      <c r="C181" s="179">
        <f t="shared" si="4"/>
        <v>67</v>
      </c>
      <c r="D181" s="183"/>
      <c r="E181" s="149"/>
      <c r="F181" s="331" t="s">
        <v>335</v>
      </c>
      <c r="G181" s="332"/>
      <c r="H181" s="332"/>
      <c r="I181" s="333"/>
      <c r="J181" s="182" t="s">
        <v>112</v>
      </c>
      <c r="K181" s="180">
        <v>1</v>
      </c>
      <c r="L181" s="290">
        <v>0</v>
      </c>
      <c r="M181" s="291"/>
      <c r="N181" s="288">
        <f t="shared" si="3"/>
        <v>0</v>
      </c>
      <c r="O181" s="289"/>
      <c r="P181" s="289"/>
      <c r="Q181" s="289"/>
      <c r="R181" s="209"/>
    </row>
    <row r="182" spans="1:18" ht="20.100000000000001" customHeight="1" x14ac:dyDescent="0.3">
      <c r="A182" s="209"/>
      <c r="C182" s="179">
        <f t="shared" si="4"/>
        <v>68</v>
      </c>
      <c r="D182" s="183"/>
      <c r="E182" s="149"/>
      <c r="F182" s="331" t="s">
        <v>336</v>
      </c>
      <c r="G182" s="332"/>
      <c r="H182" s="332"/>
      <c r="I182" s="333"/>
      <c r="J182" s="182" t="s">
        <v>112</v>
      </c>
      <c r="K182" s="180">
        <v>5</v>
      </c>
      <c r="L182" s="290">
        <v>0</v>
      </c>
      <c r="M182" s="291"/>
      <c r="N182" s="288">
        <f t="shared" si="3"/>
        <v>0</v>
      </c>
      <c r="O182" s="289"/>
      <c r="P182" s="289"/>
      <c r="Q182" s="289"/>
      <c r="R182" s="209"/>
    </row>
    <row r="183" spans="1:18" ht="20.100000000000001" customHeight="1" x14ac:dyDescent="0.3">
      <c r="A183" s="209"/>
      <c r="C183" s="179">
        <f t="shared" si="4"/>
        <v>69</v>
      </c>
      <c r="D183" s="183"/>
      <c r="E183" s="149"/>
      <c r="F183" s="331" t="s">
        <v>337</v>
      </c>
      <c r="G183" s="332"/>
      <c r="H183" s="332"/>
      <c r="I183" s="333"/>
      <c r="J183" s="182" t="s">
        <v>112</v>
      </c>
      <c r="K183" s="180">
        <v>5</v>
      </c>
      <c r="L183" s="290">
        <v>0</v>
      </c>
      <c r="M183" s="291"/>
      <c r="N183" s="288">
        <f t="shared" si="3"/>
        <v>0</v>
      </c>
      <c r="O183" s="289"/>
      <c r="P183" s="289"/>
      <c r="Q183" s="289"/>
      <c r="R183" s="209"/>
    </row>
    <row r="184" spans="1:18" ht="20.100000000000001" customHeight="1" x14ac:dyDescent="0.3">
      <c r="A184" s="209"/>
      <c r="C184" s="179">
        <f t="shared" si="4"/>
        <v>70</v>
      </c>
      <c r="D184" s="183"/>
      <c r="E184" s="149"/>
      <c r="F184" s="331" t="s">
        <v>338</v>
      </c>
      <c r="G184" s="332"/>
      <c r="H184" s="332"/>
      <c r="I184" s="333"/>
      <c r="J184" s="182" t="s">
        <v>112</v>
      </c>
      <c r="K184" s="180">
        <v>5</v>
      </c>
      <c r="L184" s="290">
        <v>0</v>
      </c>
      <c r="M184" s="291"/>
      <c r="N184" s="288">
        <f t="shared" si="3"/>
        <v>0</v>
      </c>
      <c r="O184" s="289"/>
      <c r="P184" s="289"/>
      <c r="Q184" s="289"/>
      <c r="R184" s="209"/>
    </row>
    <row r="185" spans="1:18" ht="20.100000000000001" customHeight="1" x14ac:dyDescent="0.3">
      <c r="A185" s="209"/>
      <c r="C185" s="179">
        <f t="shared" si="4"/>
        <v>71</v>
      </c>
      <c r="D185" s="183"/>
      <c r="E185" s="149"/>
      <c r="F185" s="331" t="s">
        <v>339</v>
      </c>
      <c r="G185" s="332"/>
      <c r="H185" s="332"/>
      <c r="I185" s="333"/>
      <c r="J185" s="182" t="s">
        <v>112</v>
      </c>
      <c r="K185" s="180">
        <v>1</v>
      </c>
      <c r="L185" s="290">
        <v>0</v>
      </c>
      <c r="M185" s="291"/>
      <c r="N185" s="288">
        <f t="shared" si="3"/>
        <v>0</v>
      </c>
      <c r="O185" s="289"/>
      <c r="P185" s="289"/>
      <c r="Q185" s="289"/>
      <c r="R185" s="209"/>
    </row>
    <row r="186" spans="1:18" ht="20.100000000000001" customHeight="1" x14ac:dyDescent="0.3">
      <c r="A186" s="209"/>
      <c r="C186" s="179">
        <f t="shared" si="4"/>
        <v>72</v>
      </c>
      <c r="D186" s="183"/>
      <c r="E186" s="149"/>
      <c r="F186" s="331" t="s">
        <v>340</v>
      </c>
      <c r="G186" s="332"/>
      <c r="H186" s="332"/>
      <c r="I186" s="333"/>
      <c r="J186" s="182" t="s">
        <v>112</v>
      </c>
      <c r="K186" s="180">
        <v>3</v>
      </c>
      <c r="L186" s="290">
        <v>0</v>
      </c>
      <c r="M186" s="291"/>
      <c r="N186" s="288">
        <f t="shared" si="3"/>
        <v>0</v>
      </c>
      <c r="O186" s="289"/>
      <c r="P186" s="289"/>
      <c r="Q186" s="289"/>
      <c r="R186" s="209"/>
    </row>
    <row r="187" spans="1:18" ht="20.100000000000001" customHeight="1" x14ac:dyDescent="0.3">
      <c r="A187" s="209"/>
      <c r="C187" s="179">
        <f t="shared" si="4"/>
        <v>73</v>
      </c>
      <c r="D187" s="183"/>
      <c r="E187" s="149"/>
      <c r="F187" s="331" t="s">
        <v>341</v>
      </c>
      <c r="G187" s="332"/>
      <c r="H187" s="332"/>
      <c r="I187" s="333"/>
      <c r="J187" s="182" t="s">
        <v>112</v>
      </c>
      <c r="K187" s="180">
        <v>1</v>
      </c>
      <c r="L187" s="290">
        <v>0</v>
      </c>
      <c r="M187" s="291"/>
      <c r="N187" s="288">
        <f t="shared" si="3"/>
        <v>0</v>
      </c>
      <c r="O187" s="289"/>
      <c r="P187" s="289"/>
      <c r="Q187" s="289"/>
      <c r="R187" s="209"/>
    </row>
    <row r="188" spans="1:18" ht="20.100000000000001" customHeight="1" x14ac:dyDescent="0.3">
      <c r="A188" s="209"/>
      <c r="C188" s="179">
        <f t="shared" si="4"/>
        <v>74</v>
      </c>
      <c r="D188" s="183"/>
      <c r="E188" s="149"/>
      <c r="F188" s="331" t="s">
        <v>342</v>
      </c>
      <c r="G188" s="332"/>
      <c r="H188" s="332"/>
      <c r="I188" s="333"/>
      <c r="J188" s="182" t="s">
        <v>112</v>
      </c>
      <c r="K188" s="180">
        <v>4</v>
      </c>
      <c r="L188" s="290">
        <v>0</v>
      </c>
      <c r="M188" s="291"/>
      <c r="N188" s="288">
        <f t="shared" si="3"/>
        <v>0</v>
      </c>
      <c r="O188" s="289"/>
      <c r="P188" s="289"/>
      <c r="Q188" s="289"/>
      <c r="R188" s="209"/>
    </row>
    <row r="189" spans="1:18" ht="20.100000000000001" customHeight="1" x14ac:dyDescent="0.3">
      <c r="A189" s="209"/>
      <c r="C189" s="179">
        <f t="shared" si="4"/>
        <v>75</v>
      </c>
      <c r="D189" s="183"/>
      <c r="E189" s="149"/>
      <c r="F189" s="331" t="s">
        <v>343</v>
      </c>
      <c r="G189" s="332"/>
      <c r="H189" s="332"/>
      <c r="I189" s="333"/>
      <c r="J189" s="182" t="s">
        <v>112</v>
      </c>
      <c r="K189" s="180">
        <v>3</v>
      </c>
      <c r="L189" s="290">
        <v>0</v>
      </c>
      <c r="M189" s="291"/>
      <c r="N189" s="288">
        <f t="shared" si="3"/>
        <v>0</v>
      </c>
      <c r="O189" s="289"/>
      <c r="P189" s="289"/>
      <c r="Q189" s="289"/>
      <c r="R189" s="209"/>
    </row>
    <row r="190" spans="1:18" ht="20.100000000000001" customHeight="1" x14ac:dyDescent="0.3">
      <c r="A190" s="209"/>
      <c r="C190" s="179">
        <f t="shared" si="4"/>
        <v>76</v>
      </c>
      <c r="D190" s="183"/>
      <c r="E190" s="149"/>
      <c r="F190" s="331" t="s">
        <v>344</v>
      </c>
      <c r="G190" s="332"/>
      <c r="H190" s="332"/>
      <c r="I190" s="333"/>
      <c r="J190" s="182" t="s">
        <v>112</v>
      </c>
      <c r="K190" s="180">
        <v>25</v>
      </c>
      <c r="L190" s="290">
        <v>0</v>
      </c>
      <c r="M190" s="291"/>
      <c r="N190" s="288">
        <f t="shared" si="3"/>
        <v>0</v>
      </c>
      <c r="O190" s="289"/>
      <c r="P190" s="289"/>
      <c r="Q190" s="289"/>
      <c r="R190" s="209"/>
    </row>
    <row r="191" spans="1:18" ht="20.100000000000001" customHeight="1" x14ac:dyDescent="0.3">
      <c r="A191" s="209"/>
      <c r="C191" s="179">
        <f t="shared" si="4"/>
        <v>77</v>
      </c>
      <c r="D191" s="183"/>
      <c r="E191" s="149"/>
      <c r="F191" s="331" t="s">
        <v>345</v>
      </c>
      <c r="G191" s="332"/>
      <c r="H191" s="332"/>
      <c r="I191" s="333"/>
      <c r="J191" s="182" t="s">
        <v>112</v>
      </c>
      <c r="K191" s="180">
        <v>10</v>
      </c>
      <c r="L191" s="290">
        <v>0</v>
      </c>
      <c r="M191" s="291"/>
      <c r="N191" s="288">
        <f t="shared" si="3"/>
        <v>0</v>
      </c>
      <c r="O191" s="289"/>
      <c r="P191" s="289"/>
      <c r="Q191" s="289"/>
      <c r="R191" s="209"/>
    </row>
    <row r="192" spans="1:18" ht="20.100000000000001" customHeight="1" x14ac:dyDescent="0.3">
      <c r="A192" s="209"/>
      <c r="C192" s="179">
        <f t="shared" si="4"/>
        <v>78</v>
      </c>
      <c r="D192" s="183"/>
      <c r="E192" s="149"/>
      <c r="F192" s="331" t="s">
        <v>346</v>
      </c>
      <c r="G192" s="332"/>
      <c r="H192" s="332"/>
      <c r="I192" s="333"/>
      <c r="J192" s="182" t="s">
        <v>112</v>
      </c>
      <c r="K192" s="180">
        <v>10</v>
      </c>
      <c r="L192" s="290">
        <v>0</v>
      </c>
      <c r="M192" s="291"/>
      <c r="N192" s="288">
        <f t="shared" si="3"/>
        <v>0</v>
      </c>
      <c r="O192" s="289"/>
      <c r="P192" s="289"/>
      <c r="Q192" s="289"/>
      <c r="R192" s="209"/>
    </row>
    <row r="193" spans="1:18" ht="20.100000000000001" customHeight="1" x14ac:dyDescent="0.3">
      <c r="A193" s="209"/>
      <c r="C193" s="179">
        <f t="shared" si="4"/>
        <v>79</v>
      </c>
      <c r="D193" s="183"/>
      <c r="E193" s="149"/>
      <c r="F193" s="331" t="s">
        <v>347</v>
      </c>
      <c r="G193" s="332"/>
      <c r="H193" s="332"/>
      <c r="I193" s="333"/>
      <c r="J193" s="182" t="s">
        <v>112</v>
      </c>
      <c r="K193" s="180">
        <v>10</v>
      </c>
      <c r="L193" s="290">
        <v>0</v>
      </c>
      <c r="M193" s="291"/>
      <c r="N193" s="288">
        <f t="shared" si="3"/>
        <v>0</v>
      </c>
      <c r="O193" s="289"/>
      <c r="P193" s="289"/>
      <c r="Q193" s="289"/>
      <c r="R193" s="209"/>
    </row>
    <row r="194" spans="1:18" ht="20.100000000000001" customHeight="1" x14ac:dyDescent="0.3">
      <c r="A194" s="209"/>
      <c r="C194" s="179">
        <f t="shared" si="4"/>
        <v>80</v>
      </c>
      <c r="D194" s="183"/>
      <c r="E194" s="149"/>
      <c r="F194" s="331" t="s">
        <v>348</v>
      </c>
      <c r="G194" s="332"/>
      <c r="H194" s="332"/>
      <c r="I194" s="333"/>
      <c r="J194" s="182" t="s">
        <v>112</v>
      </c>
      <c r="K194" s="180">
        <v>10</v>
      </c>
      <c r="L194" s="290">
        <v>0</v>
      </c>
      <c r="M194" s="291"/>
      <c r="N194" s="288">
        <f t="shared" si="3"/>
        <v>0</v>
      </c>
      <c r="O194" s="289"/>
      <c r="P194" s="289"/>
      <c r="Q194" s="289"/>
      <c r="R194" s="209"/>
    </row>
    <row r="195" spans="1:18" ht="20.100000000000001" customHeight="1" x14ac:dyDescent="0.3">
      <c r="A195" s="209"/>
      <c r="C195" s="179">
        <f t="shared" si="4"/>
        <v>81</v>
      </c>
      <c r="D195" s="183"/>
      <c r="E195" s="149"/>
      <c r="F195" s="331" t="s">
        <v>349</v>
      </c>
      <c r="G195" s="332"/>
      <c r="H195" s="332"/>
      <c r="I195" s="333"/>
      <c r="J195" s="182" t="s">
        <v>112</v>
      </c>
      <c r="K195" s="180">
        <v>1</v>
      </c>
      <c r="L195" s="290">
        <v>0</v>
      </c>
      <c r="M195" s="291"/>
      <c r="N195" s="288">
        <f t="shared" si="3"/>
        <v>0</v>
      </c>
      <c r="O195" s="289"/>
      <c r="P195" s="289"/>
      <c r="Q195" s="289"/>
      <c r="R195" s="209"/>
    </row>
    <row r="196" spans="1:18" ht="20.100000000000001" customHeight="1" x14ac:dyDescent="0.3">
      <c r="A196" s="209"/>
      <c r="C196" s="179">
        <f t="shared" si="4"/>
        <v>82</v>
      </c>
      <c r="D196" s="183"/>
      <c r="E196" s="149"/>
      <c r="F196" s="331" t="s">
        <v>350</v>
      </c>
      <c r="G196" s="332"/>
      <c r="H196" s="332"/>
      <c r="I196" s="333"/>
      <c r="J196" s="182" t="s">
        <v>112</v>
      </c>
      <c r="K196" s="180">
        <v>4</v>
      </c>
      <c r="L196" s="290">
        <v>0</v>
      </c>
      <c r="M196" s="291"/>
      <c r="N196" s="288">
        <f t="shared" si="3"/>
        <v>0</v>
      </c>
      <c r="O196" s="289"/>
      <c r="P196" s="289"/>
      <c r="Q196" s="289"/>
      <c r="R196" s="209"/>
    </row>
    <row r="197" spans="1:18" ht="30" customHeight="1" x14ac:dyDescent="0.3">
      <c r="A197" s="209"/>
      <c r="C197" s="179">
        <f t="shared" si="4"/>
        <v>83</v>
      </c>
      <c r="D197" s="183"/>
      <c r="E197" s="149"/>
      <c r="F197" s="331" t="s">
        <v>351</v>
      </c>
      <c r="G197" s="332"/>
      <c r="H197" s="332"/>
      <c r="I197" s="333"/>
      <c r="J197" s="182" t="s">
        <v>112</v>
      </c>
      <c r="K197" s="180">
        <v>3</v>
      </c>
      <c r="L197" s="290">
        <v>0</v>
      </c>
      <c r="M197" s="291"/>
      <c r="N197" s="288">
        <f t="shared" si="3"/>
        <v>0</v>
      </c>
      <c r="O197" s="289"/>
      <c r="P197" s="289"/>
      <c r="Q197" s="289"/>
      <c r="R197" s="209"/>
    </row>
    <row r="198" spans="1:18" ht="30" customHeight="1" x14ac:dyDescent="0.3">
      <c r="A198" s="209"/>
      <c r="C198" s="179">
        <f t="shared" si="4"/>
        <v>84</v>
      </c>
      <c r="D198" s="183"/>
      <c r="E198" s="149"/>
      <c r="F198" s="331" t="s">
        <v>352</v>
      </c>
      <c r="G198" s="332"/>
      <c r="H198" s="332"/>
      <c r="I198" s="333"/>
      <c r="J198" s="182" t="s">
        <v>112</v>
      </c>
      <c r="K198" s="180">
        <v>1</v>
      </c>
      <c r="L198" s="290">
        <v>0</v>
      </c>
      <c r="M198" s="291"/>
      <c r="N198" s="288">
        <f t="shared" si="3"/>
        <v>0</v>
      </c>
      <c r="O198" s="289"/>
      <c r="P198" s="289"/>
      <c r="Q198" s="289"/>
      <c r="R198" s="209"/>
    </row>
    <row r="199" spans="1:18" ht="20.100000000000001" customHeight="1" x14ac:dyDescent="0.3">
      <c r="A199" s="209"/>
      <c r="C199" s="179">
        <f t="shared" si="4"/>
        <v>85</v>
      </c>
      <c r="D199" s="183"/>
      <c r="E199" s="149"/>
      <c r="F199" s="331" t="s">
        <v>353</v>
      </c>
      <c r="G199" s="332"/>
      <c r="H199" s="332"/>
      <c r="I199" s="333"/>
      <c r="J199" s="182" t="s">
        <v>112</v>
      </c>
      <c r="K199" s="180">
        <v>2</v>
      </c>
      <c r="L199" s="290">
        <v>0</v>
      </c>
      <c r="M199" s="291"/>
      <c r="N199" s="288">
        <f t="shared" si="3"/>
        <v>0</v>
      </c>
      <c r="O199" s="289"/>
      <c r="P199" s="289"/>
      <c r="Q199" s="289"/>
      <c r="R199" s="209"/>
    </row>
    <row r="200" spans="1:18" ht="20.100000000000001" customHeight="1" x14ac:dyDescent="0.3">
      <c r="A200" s="209"/>
      <c r="C200" s="179">
        <f t="shared" si="4"/>
        <v>86</v>
      </c>
      <c r="D200" s="183"/>
      <c r="E200" s="149"/>
      <c r="F200" s="331" t="s">
        <v>354</v>
      </c>
      <c r="G200" s="332"/>
      <c r="H200" s="332"/>
      <c r="I200" s="333"/>
      <c r="J200" s="182" t="s">
        <v>107</v>
      </c>
      <c r="K200" s="180">
        <v>25</v>
      </c>
      <c r="L200" s="290">
        <v>0</v>
      </c>
      <c r="M200" s="291"/>
      <c r="N200" s="288">
        <f t="shared" si="3"/>
        <v>0</v>
      </c>
      <c r="O200" s="289"/>
      <c r="P200" s="289"/>
      <c r="Q200" s="289"/>
      <c r="R200" s="209"/>
    </row>
    <row r="201" spans="1:18" ht="20.100000000000001" customHeight="1" x14ac:dyDescent="0.3">
      <c r="A201" s="209"/>
      <c r="C201" s="179">
        <f t="shared" si="4"/>
        <v>87</v>
      </c>
      <c r="D201" s="183"/>
      <c r="E201" s="149"/>
      <c r="F201" s="331" t="s">
        <v>355</v>
      </c>
      <c r="G201" s="332"/>
      <c r="H201" s="332"/>
      <c r="I201" s="333"/>
      <c r="J201" s="182" t="s">
        <v>112</v>
      </c>
      <c r="K201" s="180">
        <v>1</v>
      </c>
      <c r="L201" s="290">
        <v>0</v>
      </c>
      <c r="M201" s="291"/>
      <c r="N201" s="288">
        <f t="shared" si="3"/>
        <v>0</v>
      </c>
      <c r="O201" s="289"/>
      <c r="P201" s="289"/>
      <c r="Q201" s="289"/>
      <c r="R201" s="209"/>
    </row>
    <row r="202" spans="1:18" ht="30" customHeight="1" x14ac:dyDescent="0.3">
      <c r="A202" s="209"/>
      <c r="C202" s="179">
        <f t="shared" si="4"/>
        <v>88</v>
      </c>
      <c r="D202" s="183"/>
      <c r="E202" s="149"/>
      <c r="F202" s="331" t="s">
        <v>356</v>
      </c>
      <c r="G202" s="332"/>
      <c r="H202" s="332"/>
      <c r="I202" s="333"/>
      <c r="J202" s="182" t="s">
        <v>112</v>
      </c>
      <c r="K202" s="180">
        <v>1</v>
      </c>
      <c r="L202" s="290">
        <v>0</v>
      </c>
      <c r="M202" s="291"/>
      <c r="N202" s="288">
        <f t="shared" si="3"/>
        <v>0</v>
      </c>
      <c r="O202" s="289"/>
      <c r="P202" s="289"/>
      <c r="Q202" s="289"/>
      <c r="R202" s="209"/>
    </row>
    <row r="203" spans="1:18" ht="20.100000000000001" customHeight="1" x14ac:dyDescent="0.3">
      <c r="A203" s="209"/>
      <c r="C203" s="179">
        <f t="shared" si="4"/>
        <v>89</v>
      </c>
      <c r="D203" s="183"/>
      <c r="E203" s="149"/>
      <c r="F203" s="331" t="s">
        <v>357</v>
      </c>
      <c r="G203" s="332"/>
      <c r="H203" s="332"/>
      <c r="I203" s="333"/>
      <c r="J203" s="182" t="s">
        <v>112</v>
      </c>
      <c r="K203" s="180">
        <v>4</v>
      </c>
      <c r="L203" s="290">
        <v>0</v>
      </c>
      <c r="M203" s="291"/>
      <c r="N203" s="288">
        <f t="shared" si="3"/>
        <v>0</v>
      </c>
      <c r="O203" s="289"/>
      <c r="P203" s="289"/>
      <c r="Q203" s="289"/>
      <c r="R203" s="209"/>
    </row>
    <row r="204" spans="1:18" ht="20.100000000000001" customHeight="1" x14ac:dyDescent="0.3">
      <c r="A204" s="209"/>
      <c r="C204" s="179">
        <f t="shared" si="4"/>
        <v>90</v>
      </c>
      <c r="D204" s="183"/>
      <c r="E204" s="149"/>
      <c r="F204" s="331" t="s">
        <v>358</v>
      </c>
      <c r="G204" s="332"/>
      <c r="H204" s="332"/>
      <c r="I204" s="333"/>
      <c r="J204" s="182" t="s">
        <v>109</v>
      </c>
      <c r="K204" s="180">
        <v>1</v>
      </c>
      <c r="L204" s="290">
        <v>0</v>
      </c>
      <c r="M204" s="291"/>
      <c r="N204" s="288">
        <f t="shared" si="3"/>
        <v>0</v>
      </c>
      <c r="O204" s="289"/>
      <c r="P204" s="289"/>
      <c r="Q204" s="289"/>
      <c r="R204" s="209"/>
    </row>
    <row r="205" spans="1:18" ht="20.100000000000001" customHeight="1" x14ac:dyDescent="0.3">
      <c r="A205" s="209"/>
      <c r="C205" s="132"/>
      <c r="D205" s="138" t="s">
        <v>359</v>
      </c>
      <c r="E205" s="234"/>
      <c r="F205" s="235"/>
      <c r="G205" s="235"/>
      <c r="H205" s="235"/>
      <c r="I205" s="235"/>
      <c r="J205" s="236"/>
      <c r="K205" s="237"/>
      <c r="L205" s="237"/>
      <c r="M205" s="231"/>
      <c r="N205" s="297">
        <f>SUM(N206)</f>
        <v>0</v>
      </c>
      <c r="O205" s="298"/>
      <c r="P205" s="298"/>
      <c r="Q205" s="298"/>
      <c r="R205" s="209"/>
    </row>
    <row r="206" spans="1:18" ht="30" customHeight="1" x14ac:dyDescent="0.3">
      <c r="A206" s="209"/>
      <c r="C206" s="179">
        <f>C204+1</f>
        <v>91</v>
      </c>
      <c r="D206" s="183"/>
      <c r="E206" s="149"/>
      <c r="F206" s="342" t="s">
        <v>360</v>
      </c>
      <c r="G206" s="343"/>
      <c r="H206" s="343"/>
      <c r="I206" s="344"/>
      <c r="J206" s="182" t="s">
        <v>112</v>
      </c>
      <c r="K206" s="180">
        <v>1</v>
      </c>
      <c r="L206" s="290">
        <v>0</v>
      </c>
      <c r="M206" s="291"/>
      <c r="N206" s="288">
        <f>ROUND(K206*L206,2)</f>
        <v>0</v>
      </c>
      <c r="O206" s="289"/>
      <c r="P206" s="289"/>
      <c r="Q206" s="289"/>
      <c r="R206" s="209"/>
    </row>
    <row r="207" spans="1:18" ht="7.5" customHeight="1" x14ac:dyDescent="0.3">
      <c r="A207" s="209"/>
      <c r="B207" s="22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136"/>
    </row>
  </sheetData>
  <sheetProtection algorithmName="SHA-512" hashValue="NsBqqbAKWS39AUzHzRyGNamYW9K3tYwZRop0/n9U1aPMojVN65qZzB+/ZHNIrfXbO0gQMKUMzyp2WT+SU8aaeg==" saltValue="R32LGAFGL1kKi9n6I/1fQg==" spinCount="100000" sheet="1" selectLockedCells="1"/>
  <mergeCells count="333">
    <mergeCell ref="F204:I204"/>
    <mergeCell ref="L204:M204"/>
    <mergeCell ref="N204:Q204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5:I175"/>
    <mergeCell ref="L175:M175"/>
    <mergeCell ref="F176:I176"/>
    <mergeCell ref="L176:M176"/>
    <mergeCell ref="F178:I178"/>
    <mergeCell ref="L178:M178"/>
    <mergeCell ref="N178:Q178"/>
    <mergeCell ref="F179:I179"/>
    <mergeCell ref="L179:M179"/>
    <mergeCell ref="N179:Q179"/>
    <mergeCell ref="F133:I133"/>
    <mergeCell ref="L133:M133"/>
    <mergeCell ref="F137:I137"/>
    <mergeCell ref="L137:M137"/>
    <mergeCell ref="F141:I141"/>
    <mergeCell ref="L141:M141"/>
    <mergeCell ref="F143:I143"/>
    <mergeCell ref="L143:M143"/>
    <mergeCell ref="F139:I139"/>
    <mergeCell ref="L139:M139"/>
    <mergeCell ref="M83:Q83"/>
    <mergeCell ref="N175:Q175"/>
    <mergeCell ref="N176:Q176"/>
    <mergeCell ref="F177:I177"/>
    <mergeCell ref="L177:M177"/>
    <mergeCell ref="N177:Q177"/>
    <mergeCell ref="F136:I136"/>
    <mergeCell ref="L136:M136"/>
    <mergeCell ref="N136:Q136"/>
    <mergeCell ref="F140:I140"/>
    <mergeCell ref="L140:M140"/>
    <mergeCell ref="N140:Q140"/>
    <mergeCell ref="N109:Q109"/>
    <mergeCell ref="N110:Q110"/>
    <mergeCell ref="N111:Q111"/>
    <mergeCell ref="F112:I112"/>
    <mergeCell ref="N112:Q112"/>
    <mergeCell ref="F101:P101"/>
    <mergeCell ref="F99:P99"/>
    <mergeCell ref="F100:P100"/>
    <mergeCell ref="M84:Q84"/>
    <mergeCell ref="C86:G86"/>
    <mergeCell ref="N86:Q86"/>
    <mergeCell ref="N88:Q88"/>
    <mergeCell ref="N89:Q89"/>
    <mergeCell ref="F108:I108"/>
    <mergeCell ref="L108:M108"/>
    <mergeCell ref="N108:Q108"/>
    <mergeCell ref="S2:AC2"/>
    <mergeCell ref="C4:Q4"/>
    <mergeCell ref="F6:P6"/>
    <mergeCell ref="F7:P7"/>
    <mergeCell ref="M25:P25"/>
    <mergeCell ref="M27:P27"/>
    <mergeCell ref="H29:J29"/>
    <mergeCell ref="M29:P29"/>
    <mergeCell ref="E16:L16"/>
    <mergeCell ref="O16:P16"/>
    <mergeCell ref="O18:P18"/>
    <mergeCell ref="O19:P19"/>
    <mergeCell ref="O21:P21"/>
    <mergeCell ref="O22:P22"/>
    <mergeCell ref="F8:P8"/>
    <mergeCell ref="F10:L10"/>
    <mergeCell ref="L91:Q91"/>
    <mergeCell ref="C97:Q97"/>
    <mergeCell ref="M103:P103"/>
    <mergeCell ref="M105:Q105"/>
    <mergeCell ref="M106:Q106"/>
    <mergeCell ref="L112:M112"/>
    <mergeCell ref="F115:I115"/>
    <mergeCell ref="N115:Q115"/>
    <mergeCell ref="H1:K1"/>
    <mergeCell ref="C2:Q2"/>
    <mergeCell ref="C75:Q75"/>
    <mergeCell ref="F77:P77"/>
    <mergeCell ref="F78:P78"/>
    <mergeCell ref="F79:P79"/>
    <mergeCell ref="M81:P81"/>
    <mergeCell ref="H31:J31"/>
    <mergeCell ref="M31:P31"/>
    <mergeCell ref="H32:J32"/>
    <mergeCell ref="M32:P32"/>
    <mergeCell ref="H33:J33"/>
    <mergeCell ref="M33:P33"/>
    <mergeCell ref="O10:P10"/>
    <mergeCell ref="O12:P12"/>
    <mergeCell ref="O13:P13"/>
    <mergeCell ref="O15:P15"/>
    <mergeCell ref="H30:J30"/>
    <mergeCell ref="M30:P30"/>
    <mergeCell ref="L35:P35"/>
    <mergeCell ref="F121:I121"/>
    <mergeCell ref="L121:M121"/>
    <mergeCell ref="N121:Q121"/>
    <mergeCell ref="F119:I119"/>
    <mergeCell ref="L119:M119"/>
    <mergeCell ref="N119:Q119"/>
    <mergeCell ref="F120:I120"/>
    <mergeCell ref="N120:Q120"/>
    <mergeCell ref="L120:M120"/>
    <mergeCell ref="F118:I118"/>
    <mergeCell ref="N118:Q118"/>
    <mergeCell ref="F113:I113"/>
    <mergeCell ref="L113:M113"/>
    <mergeCell ref="N113:Q113"/>
    <mergeCell ref="F114:I114"/>
    <mergeCell ref="N114:Q114"/>
    <mergeCell ref="L114:M114"/>
    <mergeCell ref="L115:M115"/>
    <mergeCell ref="L118:M118"/>
    <mergeCell ref="F116:I116"/>
    <mergeCell ref="L116:M116"/>
    <mergeCell ref="N116:Q116"/>
    <mergeCell ref="F117:I117"/>
    <mergeCell ref="N117:Q117"/>
    <mergeCell ref="L117:M117"/>
    <mergeCell ref="F126:I126"/>
    <mergeCell ref="N126:Q126"/>
    <mergeCell ref="F127:I127"/>
    <mergeCell ref="N127:Q127"/>
    <mergeCell ref="N122:Q122"/>
    <mergeCell ref="N123:Q123"/>
    <mergeCell ref="F124:I124"/>
    <mergeCell ref="L124:M124"/>
    <mergeCell ref="N124:Q124"/>
    <mergeCell ref="F125:I125"/>
    <mergeCell ref="L125:M125"/>
    <mergeCell ref="N125:Q125"/>
    <mergeCell ref="L126:M126"/>
    <mergeCell ref="L127:M127"/>
    <mergeCell ref="F122:I122"/>
    <mergeCell ref="L122:M122"/>
    <mergeCell ref="F123:I123"/>
    <mergeCell ref="L123:M123"/>
    <mergeCell ref="N137:Q137"/>
    <mergeCell ref="N138:Q138"/>
    <mergeCell ref="N128:Q128"/>
    <mergeCell ref="F129:I129"/>
    <mergeCell ref="L129:M129"/>
    <mergeCell ref="N129:Q129"/>
    <mergeCell ref="F132:I132"/>
    <mergeCell ref="L132:M132"/>
    <mergeCell ref="N132:Q132"/>
    <mergeCell ref="F131:I131"/>
    <mergeCell ref="L131:M131"/>
    <mergeCell ref="N131:Q131"/>
    <mergeCell ref="F130:I130"/>
    <mergeCell ref="L130:M130"/>
    <mergeCell ref="N130:Q130"/>
    <mergeCell ref="N133:Q133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39:Q139"/>
    <mergeCell ref="F142:I142"/>
    <mergeCell ref="L142:M142"/>
    <mergeCell ref="N142:Q142"/>
    <mergeCell ref="F146:I146"/>
    <mergeCell ref="N146:Q146"/>
    <mergeCell ref="N143:Q143"/>
    <mergeCell ref="N144:Q144"/>
    <mergeCell ref="L145:M145"/>
    <mergeCell ref="L146:M146"/>
    <mergeCell ref="N141:Q141"/>
    <mergeCell ref="L155:M155"/>
    <mergeCell ref="N149:Q149"/>
    <mergeCell ref="F147:I147"/>
    <mergeCell ref="F152:I152"/>
    <mergeCell ref="L152:M152"/>
    <mergeCell ref="N152:Q152"/>
    <mergeCell ref="N153:Q153"/>
    <mergeCell ref="N154:Q154"/>
    <mergeCell ref="F148:I148"/>
    <mergeCell ref="L148:M148"/>
    <mergeCell ref="N148:Q148"/>
    <mergeCell ref="F150:I150"/>
    <mergeCell ref="L150:M150"/>
    <mergeCell ref="F153:I153"/>
    <mergeCell ref="L153:M153"/>
    <mergeCell ref="F154:I154"/>
    <mergeCell ref="L154:M154"/>
    <mergeCell ref="F165:I165"/>
    <mergeCell ref="N165:Q165"/>
    <mergeCell ref="F164:I164"/>
    <mergeCell ref="N164:Q164"/>
    <mergeCell ref="L165:M165"/>
    <mergeCell ref="L147:M147"/>
    <mergeCell ref="N147:Q147"/>
    <mergeCell ref="F145:I145"/>
    <mergeCell ref="N145:Q145"/>
    <mergeCell ref="F163:I163"/>
    <mergeCell ref="N163:Q163"/>
    <mergeCell ref="L164:M164"/>
    <mergeCell ref="L163:M163"/>
    <mergeCell ref="L162:M162"/>
    <mergeCell ref="F156:I156"/>
    <mergeCell ref="L156:M156"/>
    <mergeCell ref="N150:Q150"/>
    <mergeCell ref="F155:I155"/>
    <mergeCell ref="N156:Q156"/>
    <mergeCell ref="F151:I151"/>
    <mergeCell ref="L151:M151"/>
    <mergeCell ref="N151:Q151"/>
    <mergeCell ref="N155:Q155"/>
    <mergeCell ref="L157:M157"/>
    <mergeCell ref="N170:Q170"/>
    <mergeCell ref="F171:I171"/>
    <mergeCell ref="N171:Q171"/>
    <mergeCell ref="N168:Q168"/>
    <mergeCell ref="F169:I169"/>
    <mergeCell ref="N169:Q169"/>
    <mergeCell ref="N166:Q166"/>
    <mergeCell ref="F167:I167"/>
    <mergeCell ref="L167:M167"/>
    <mergeCell ref="N167:Q167"/>
    <mergeCell ref="L169:M169"/>
    <mergeCell ref="L171:M171"/>
    <mergeCell ref="F166:I166"/>
    <mergeCell ref="L166:M166"/>
    <mergeCell ref="F168:I168"/>
    <mergeCell ref="L168:M168"/>
    <mergeCell ref="F170:I170"/>
    <mergeCell ref="L170:M170"/>
    <mergeCell ref="F174:I174"/>
    <mergeCell ref="N174:Q174"/>
    <mergeCell ref="F172:I172"/>
    <mergeCell ref="N172:Q172"/>
    <mergeCell ref="F173:I173"/>
    <mergeCell ref="N173:Q173"/>
    <mergeCell ref="L172:M172"/>
    <mergeCell ref="L173:M173"/>
    <mergeCell ref="L174:M174"/>
    <mergeCell ref="L161:M161"/>
    <mergeCell ref="F161:I161"/>
    <mergeCell ref="N161:Q161"/>
    <mergeCell ref="F162:I162"/>
    <mergeCell ref="N162:Q162"/>
    <mergeCell ref="F159:I159"/>
    <mergeCell ref="N159:Q159"/>
    <mergeCell ref="F157:I157"/>
    <mergeCell ref="N157:Q157"/>
    <mergeCell ref="F158:I158"/>
    <mergeCell ref="L158:M158"/>
    <mergeCell ref="N158:Q158"/>
    <mergeCell ref="F160:I160"/>
    <mergeCell ref="L160:M160"/>
    <mergeCell ref="N160:Q160"/>
    <mergeCell ref="L159:M159"/>
  </mergeCells>
  <hyperlinks>
    <hyperlink ref="F1:G1" location="C2" tooltip="Krycí list rozpočtu" display="1) Krycí list rozpočtu" xr:uid="{00000000-0004-0000-0400-000000000000}"/>
    <hyperlink ref="H1:K1" location="'SO04'!C93" tooltip="Rekapitulace rozpočtu" display="2) Rekapitulace rozpočtu" xr:uid="{00000000-0004-0000-0400-000001000000}"/>
    <hyperlink ref="L1" location="'SO04'!C115" tooltip="Rozpočet" display="3) Rozpočet" xr:uid="{00000000-0004-0000-0400-000002000000}"/>
    <hyperlink ref="S1:T1" location="'Rekapitulace stavby'!C2" tooltip="Rekapitulace stavby" display="Rekapitulace stavby" xr:uid="{00000000-0004-0000-0400-000003000000}"/>
    <hyperlink ref="F1" location="'SO04'!C4" tooltip="Krycí list rozpočtu" display="1) Krycí list rozpočtu" xr:uid="{36ADA929-3C29-4768-87BA-4E003438A9B6}"/>
    <hyperlink ref="S1" location="Rekapitulace!C4" tooltip="Rekapitulace stavby" display="Rekapitulace stavby" xr:uid="{AB4458BC-4F47-4A2E-B324-AE03F08D2C1C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B1:BL131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7" width="11.1640625" style="155" customWidth="1"/>
    <col min="8" max="8" width="12.5" style="155" customWidth="1"/>
    <col min="9" max="9" width="7" style="155" customWidth="1"/>
    <col min="10" max="10" width="5.1640625" style="155" customWidth="1"/>
    <col min="11" max="11" width="11.5" style="155" customWidth="1"/>
    <col min="12" max="12" width="12" style="155" customWidth="1"/>
    <col min="13" max="14" width="6" style="155" customWidth="1"/>
    <col min="15" max="15" width="2" style="155" customWidth="1"/>
    <col min="16" max="16" width="12.5" style="155" customWidth="1"/>
    <col min="17" max="17" width="4.1640625" style="155" customWidth="1"/>
    <col min="18" max="18" width="1.6640625" style="155" customWidth="1"/>
    <col min="19" max="19" width="8.1640625" style="155" customWidth="1"/>
    <col min="20" max="20" width="29.6640625" style="155" hidden="1" customWidth="1"/>
    <col min="21" max="21" width="16.33203125" style="155" hidden="1" customWidth="1"/>
    <col min="22" max="22" width="12.33203125" style="155" hidden="1" customWidth="1"/>
    <col min="23" max="23" width="16.33203125" style="155" hidden="1" customWidth="1"/>
    <col min="24" max="24" width="12.1640625" style="155" hidden="1" customWidth="1"/>
    <col min="25" max="25" width="15" style="155" hidden="1" customWidth="1"/>
    <col min="26" max="26" width="11" style="155" hidden="1" customWidth="1"/>
    <col min="27" max="27" width="15" style="155" hidden="1" customWidth="1"/>
    <col min="28" max="28" width="16.33203125" style="155" hidden="1" customWidth="1"/>
    <col min="29" max="29" width="11" style="155" customWidth="1"/>
    <col min="30" max="30" width="15" style="155" customWidth="1"/>
    <col min="31" max="31" width="16.33203125" style="155" customWidth="1"/>
    <col min="32" max="41" width="10.5" style="155" customWidth="1"/>
    <col min="42" max="42" width="10.5" style="155" hidden="1" customWidth="1"/>
    <col min="43" max="43" width="15.83203125" style="155" hidden="1" customWidth="1"/>
    <col min="44" max="53" width="10.5" style="155" hidden="1" customWidth="1"/>
    <col min="54" max="54" width="6.5" style="155" hidden="1" customWidth="1"/>
    <col min="55" max="55" width="11.33203125" style="155" hidden="1" customWidth="1"/>
    <col min="56" max="56" width="5.83203125" style="155" hidden="1" customWidth="1"/>
    <col min="57" max="57" width="8" style="155" hidden="1" customWidth="1"/>
    <col min="58" max="58" width="9.1640625" style="155" hidden="1" customWidth="1"/>
    <col min="59" max="59" width="10.33203125" style="155" hidden="1" customWidth="1"/>
    <col min="60" max="60" width="9.6640625" style="155" hidden="1" customWidth="1"/>
    <col min="61" max="61" width="12.5" style="155" hidden="1" customWidth="1"/>
    <col min="62" max="62" width="11.6640625" style="155" hidden="1" customWidth="1"/>
    <col min="63" max="63" width="16.6640625" style="155" hidden="1" customWidth="1"/>
    <col min="64" max="64" width="6.6640625" style="155" hidden="1" customWidth="1"/>
    <col min="65" max="74" width="0" style="155" hidden="1" customWidth="1"/>
    <col min="75" max="16384" width="10.5" style="155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12" t="s">
        <v>117</v>
      </c>
      <c r="I1" s="312"/>
      <c r="J1" s="312"/>
      <c r="K1" s="312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1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S2" s="256" t="s">
        <v>3</v>
      </c>
      <c r="T2" s="248"/>
      <c r="U2" s="248"/>
      <c r="V2" s="248"/>
      <c r="W2" s="248"/>
      <c r="X2" s="248"/>
      <c r="Y2" s="248"/>
      <c r="Z2" s="248"/>
      <c r="AA2" s="248"/>
      <c r="AB2" s="248"/>
      <c r="AC2" s="248"/>
      <c r="AT2" s="155" t="s">
        <v>71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55" t="s">
        <v>70</v>
      </c>
    </row>
    <row r="4" spans="2:46" ht="37.5" customHeight="1" x14ac:dyDescent="0.3">
      <c r="B4" s="11"/>
      <c r="C4" s="249" t="s">
        <v>81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12"/>
      <c r="T4" s="13" t="s">
        <v>8</v>
      </c>
      <c r="AT4" s="155" t="s">
        <v>2</v>
      </c>
    </row>
    <row r="5" spans="2:46" ht="7.5" customHeight="1" x14ac:dyDescent="0.3">
      <c r="B5" s="11"/>
      <c r="R5" s="12"/>
    </row>
    <row r="6" spans="2:46" ht="24.95" customHeight="1" x14ac:dyDescent="0.3">
      <c r="B6" s="11"/>
      <c r="D6" s="18" t="s">
        <v>12</v>
      </c>
      <c r="F6" s="306" t="str">
        <f>Rekapitulace!$K$6</f>
        <v>Instalace FVE s akumulací pro vlastní spotřebu elektřiny ve společnosti ČEPRO, a.s. v areálu Mstětice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R6" s="12"/>
    </row>
    <row r="7" spans="2:46" ht="24.95" customHeight="1" x14ac:dyDescent="0.3">
      <c r="B7" s="11"/>
      <c r="D7" s="18" t="s">
        <v>82</v>
      </c>
      <c r="F7" s="306" t="str">
        <f>Rekapitulace!J92</f>
        <v>IO 01 - Propoj mezi kotelnou a budovou č. 700/1 - Sklad a výdej olejů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R7" s="12"/>
    </row>
    <row r="8" spans="2:46" s="154" customFormat="1" ht="33.75" customHeight="1" x14ac:dyDescent="0.3">
      <c r="B8" s="21"/>
      <c r="D8" s="17" t="s">
        <v>83</v>
      </c>
      <c r="F8" s="264" t="str">
        <f>Rekapitulace!J92</f>
        <v>IO 01 - Propoj mezi kotelnou a budovou č. 700/1 - Sklad a výdej olejů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R8" s="22"/>
    </row>
    <row r="9" spans="2:46" s="154" customFormat="1" ht="15" customHeight="1" x14ac:dyDescent="0.3">
      <c r="B9" s="21"/>
      <c r="D9" s="18" t="s">
        <v>13</v>
      </c>
      <c r="F9" s="156"/>
      <c r="M9" s="18" t="s">
        <v>14</v>
      </c>
      <c r="O9" s="156"/>
      <c r="R9" s="22"/>
    </row>
    <row r="10" spans="2:46" s="154" customFormat="1" ht="15" customHeight="1" x14ac:dyDescent="0.3">
      <c r="B10" s="21"/>
      <c r="D10" s="18" t="s">
        <v>15</v>
      </c>
      <c r="F10" s="253" t="str">
        <f>Rekapitulace!L80</f>
        <v>Areál skladu ČEPRO, a.s.; Mstětice 3, 250 91 Zeleneč</v>
      </c>
      <c r="G10" s="253"/>
      <c r="H10" s="253"/>
      <c r="I10" s="253"/>
      <c r="J10" s="253"/>
      <c r="K10" s="253"/>
      <c r="L10" s="253"/>
      <c r="M10" s="18" t="s">
        <v>16</v>
      </c>
      <c r="O10" s="322">
        <f>Rekapitulace!$AN$8</f>
        <v>44105</v>
      </c>
      <c r="P10" s="322"/>
      <c r="R10" s="22"/>
    </row>
    <row r="11" spans="2:46" s="154" customFormat="1" ht="12" customHeight="1" x14ac:dyDescent="0.3">
      <c r="B11" s="21"/>
      <c r="R11" s="22"/>
    </row>
    <row r="12" spans="2:46" s="154" customFormat="1" ht="15" customHeight="1" x14ac:dyDescent="0.3">
      <c r="B12" s="21"/>
      <c r="D12" s="18" t="s">
        <v>17</v>
      </c>
      <c r="M12" s="18" t="s">
        <v>18</v>
      </c>
      <c r="O12" s="253">
        <f>IF(Rekapitulace!$AN$10="","",Rekapitulace!$AN$10)</f>
        <v>60193531</v>
      </c>
      <c r="P12" s="254"/>
      <c r="R12" s="22"/>
    </row>
    <row r="13" spans="2:46" s="154" customFormat="1" ht="18.75" customHeight="1" x14ac:dyDescent="0.3">
      <c r="B13" s="21"/>
      <c r="E13" s="156" t="str">
        <f>IF(Rekapitulace!$E$11="","",Rekapitulace!$E$11)</f>
        <v>ČEPRO, a.s., Dělnická 213/12, Holešovice, 170 00 Praha 7</v>
      </c>
      <c r="M13" s="18" t="s">
        <v>19</v>
      </c>
      <c r="O13" s="253" t="str">
        <f>IF(Rekapitulace!$AN$11="","",Rekapitulace!$AN$11)</f>
        <v>CZ60193531</v>
      </c>
      <c r="P13" s="254"/>
      <c r="R13" s="22"/>
    </row>
    <row r="14" spans="2:46" s="154" customFormat="1" ht="7.5" customHeight="1" x14ac:dyDescent="0.3">
      <c r="B14" s="21"/>
      <c r="R14" s="22"/>
    </row>
    <row r="15" spans="2:46" s="154" customFormat="1" ht="15" customHeight="1" x14ac:dyDescent="0.3">
      <c r="B15" s="21"/>
      <c r="D15" s="18" t="s">
        <v>20</v>
      </c>
      <c r="M15" s="18" t="s">
        <v>18</v>
      </c>
      <c r="O15" s="316" t="str">
        <f>IF(Rekapitulace!$AN$13="","",Rekapitulace!$AN$13)</f>
        <v>Vyplň údaj</v>
      </c>
      <c r="P15" s="285"/>
      <c r="R15" s="22"/>
    </row>
    <row r="16" spans="2:46" s="154" customFormat="1" ht="18.75" customHeight="1" x14ac:dyDescent="0.3">
      <c r="B16" s="21"/>
      <c r="E16" s="316" t="str">
        <f>IF(Rekapitulace!$E$14="","",Rekapitulace!$E$14)</f>
        <v>Vyplň údaj</v>
      </c>
      <c r="F16" s="285"/>
      <c r="G16" s="285"/>
      <c r="H16" s="285"/>
      <c r="I16" s="285"/>
      <c r="J16" s="285"/>
      <c r="K16" s="285"/>
      <c r="L16" s="285"/>
      <c r="M16" s="18" t="s">
        <v>19</v>
      </c>
      <c r="O16" s="316" t="str">
        <f>IF(Rekapitulace!$AN$14="","",Rekapitulace!$AN$14)</f>
        <v>Vyplň údaj</v>
      </c>
      <c r="P16" s="285"/>
      <c r="R16" s="22"/>
    </row>
    <row r="17" spans="2:18" s="154" customFormat="1" ht="7.5" customHeight="1" x14ac:dyDescent="0.3">
      <c r="B17" s="21"/>
      <c r="R17" s="22"/>
    </row>
    <row r="18" spans="2:18" s="154" customFormat="1" ht="15" customHeight="1" x14ac:dyDescent="0.3">
      <c r="B18" s="21"/>
      <c r="D18" s="18" t="s">
        <v>22</v>
      </c>
      <c r="M18" s="18" t="s">
        <v>18</v>
      </c>
      <c r="O18" s="253" t="str">
        <f>IF(Rekapitulace!$AN$16="","",Rekapitulace!$AN$16)</f>
        <v>04083351</v>
      </c>
      <c r="P18" s="254"/>
      <c r="R18" s="22"/>
    </row>
    <row r="19" spans="2:18" s="154" customFormat="1" ht="18.75" customHeight="1" x14ac:dyDescent="0.3">
      <c r="B19" s="21"/>
      <c r="E19" s="156" t="str">
        <f>IF(Rekapitulace!$E$17="","",Rekapitulace!$E$17)</f>
        <v>YOUNG4ENERGY s.r.o.</v>
      </c>
      <c r="M19" s="18" t="s">
        <v>19</v>
      </c>
      <c r="O19" s="253" t="str">
        <f>IF(Rekapitulace!$AN$17="","",Rekapitulace!$AN$17)</f>
        <v>CZ04083351</v>
      </c>
      <c r="P19" s="254"/>
      <c r="R19" s="22"/>
    </row>
    <row r="20" spans="2:18" s="154" customFormat="1" ht="7.5" customHeight="1" x14ac:dyDescent="0.3">
      <c r="B20" s="21"/>
      <c r="R20" s="22"/>
    </row>
    <row r="21" spans="2:18" s="154" customFormat="1" ht="15" customHeight="1" x14ac:dyDescent="0.3">
      <c r="B21" s="21"/>
      <c r="D21" s="18" t="s">
        <v>23</v>
      </c>
      <c r="M21" s="18" t="s">
        <v>18</v>
      </c>
      <c r="O21" s="253" t="str">
        <f>IF(Rekapitulace!$AN$19="","",Rekapitulace!$AN$19)</f>
        <v>04083351</v>
      </c>
      <c r="P21" s="254"/>
      <c r="R21" s="22"/>
    </row>
    <row r="22" spans="2:18" s="154" customFormat="1" ht="18.75" customHeight="1" x14ac:dyDescent="0.3">
      <c r="B22" s="21"/>
      <c r="E22" s="156" t="str">
        <f>IF(Rekapitulace!$E$20="","",Rekapitulace!$E$20)</f>
        <v>YOUNG4ENERGY s.r.o.</v>
      </c>
      <c r="M22" s="18" t="s">
        <v>19</v>
      </c>
      <c r="O22" s="253" t="str">
        <f>IF(Rekapitulace!$AN$20="","",Rekapitulace!$AN$20)</f>
        <v>CZ04083351</v>
      </c>
      <c r="P22" s="254"/>
      <c r="R22" s="22"/>
    </row>
    <row r="23" spans="2:18" s="154" customFormat="1" ht="7.5" customHeight="1" x14ac:dyDescent="0.3">
      <c r="B23" s="21"/>
      <c r="R23" s="22"/>
    </row>
    <row r="24" spans="2:18" s="154" customFormat="1" ht="7.5" customHeight="1" x14ac:dyDescent="0.3">
      <c r="B24" s="2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22"/>
    </row>
    <row r="25" spans="2:18" s="154" customFormat="1" ht="15" customHeight="1" x14ac:dyDescent="0.3">
      <c r="B25" s="21"/>
      <c r="D25" s="76" t="s">
        <v>84</v>
      </c>
      <c r="M25" s="252">
        <f>$N$88</f>
        <v>0</v>
      </c>
      <c r="N25" s="254"/>
      <c r="O25" s="254"/>
      <c r="P25" s="254"/>
      <c r="R25" s="22"/>
    </row>
    <row r="26" spans="2:18" s="154" customFormat="1" ht="7.5" customHeight="1" x14ac:dyDescent="0.3">
      <c r="B26" s="21"/>
      <c r="R26" s="22"/>
    </row>
    <row r="27" spans="2:18" s="154" customFormat="1" ht="26.25" customHeight="1" x14ac:dyDescent="0.3">
      <c r="B27" s="21"/>
      <c r="D27" s="96" t="s">
        <v>26</v>
      </c>
      <c r="M27" s="320">
        <f>ROUND($M$25,2)</f>
        <v>0</v>
      </c>
      <c r="N27" s="254"/>
      <c r="O27" s="254"/>
      <c r="P27" s="254"/>
      <c r="R27" s="22"/>
    </row>
    <row r="28" spans="2:18" s="154" customFormat="1" ht="7.5" customHeight="1" x14ac:dyDescent="0.3">
      <c r="B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22"/>
    </row>
    <row r="29" spans="2:18" s="154" customFormat="1" ht="15" customHeight="1" x14ac:dyDescent="0.3">
      <c r="B29" s="21"/>
      <c r="D29" s="152" t="s">
        <v>27</v>
      </c>
      <c r="E29" s="152" t="s">
        <v>28</v>
      </c>
      <c r="F29" s="153">
        <v>0.21</v>
      </c>
      <c r="G29" s="97" t="s">
        <v>29</v>
      </c>
      <c r="H29" s="305">
        <f>M27</f>
        <v>0</v>
      </c>
      <c r="I29" s="254"/>
      <c r="J29" s="254"/>
      <c r="M29" s="305">
        <f>(H29)*$F$29</f>
        <v>0</v>
      </c>
      <c r="N29" s="254"/>
      <c r="O29" s="254"/>
      <c r="P29" s="254"/>
      <c r="R29" s="22"/>
    </row>
    <row r="30" spans="2:18" s="154" customFormat="1" ht="15" customHeight="1" x14ac:dyDescent="0.3">
      <c r="B30" s="21"/>
      <c r="E30" s="152" t="s">
        <v>30</v>
      </c>
      <c r="F30" s="153">
        <v>0.15</v>
      </c>
      <c r="G30" s="97" t="s">
        <v>29</v>
      </c>
      <c r="H30" s="305">
        <v>0</v>
      </c>
      <c r="I30" s="254"/>
      <c r="J30" s="254"/>
      <c r="M30" s="305">
        <v>0</v>
      </c>
      <c r="N30" s="254"/>
      <c r="O30" s="254"/>
      <c r="P30" s="254"/>
      <c r="R30" s="22"/>
    </row>
    <row r="31" spans="2:18" s="154" customFormat="1" ht="15" hidden="1" customHeight="1" x14ac:dyDescent="0.3">
      <c r="B31" s="21"/>
      <c r="E31" s="152" t="s">
        <v>31</v>
      </c>
      <c r="F31" s="153">
        <v>0.21</v>
      </c>
      <c r="G31" s="97" t="s">
        <v>29</v>
      </c>
      <c r="H31" s="305">
        <f>(SUM($BG$91:$BG$91)+SUM($BG$110:$BG$129))</f>
        <v>0</v>
      </c>
      <c r="I31" s="254"/>
      <c r="J31" s="254"/>
      <c r="M31" s="305">
        <v>0</v>
      </c>
      <c r="N31" s="254"/>
      <c r="O31" s="254"/>
      <c r="P31" s="254"/>
      <c r="R31" s="22"/>
    </row>
    <row r="32" spans="2:18" s="154" customFormat="1" ht="15" hidden="1" customHeight="1" x14ac:dyDescent="0.3">
      <c r="B32" s="21"/>
      <c r="E32" s="152" t="s">
        <v>32</v>
      </c>
      <c r="F32" s="153">
        <v>0.15</v>
      </c>
      <c r="G32" s="97" t="s">
        <v>29</v>
      </c>
      <c r="H32" s="305">
        <f>(SUM($BH$91:$BH$91)+SUM($BH$110:$BH$129))</f>
        <v>0</v>
      </c>
      <c r="I32" s="254"/>
      <c r="J32" s="254"/>
      <c r="M32" s="305">
        <v>0</v>
      </c>
      <c r="N32" s="254"/>
      <c r="O32" s="254"/>
      <c r="P32" s="254"/>
      <c r="R32" s="22"/>
    </row>
    <row r="33" spans="2:18" s="154" customFormat="1" ht="15" hidden="1" customHeight="1" x14ac:dyDescent="0.3">
      <c r="B33" s="21"/>
      <c r="E33" s="152" t="s">
        <v>33</v>
      </c>
      <c r="F33" s="153">
        <v>0</v>
      </c>
      <c r="G33" s="97" t="s">
        <v>29</v>
      </c>
      <c r="H33" s="305">
        <f>(SUM($BI$91:$BI$91)+SUM($BI$110:$BI$129))</f>
        <v>0</v>
      </c>
      <c r="I33" s="254"/>
      <c r="J33" s="254"/>
      <c r="M33" s="305">
        <v>0</v>
      </c>
      <c r="N33" s="254"/>
      <c r="O33" s="254"/>
      <c r="P33" s="254"/>
      <c r="R33" s="22"/>
    </row>
    <row r="34" spans="2:18" s="154" customFormat="1" ht="7.5" customHeight="1" x14ac:dyDescent="0.3">
      <c r="B34" s="21"/>
      <c r="R34" s="22"/>
    </row>
    <row r="35" spans="2:18" s="154" customFormat="1" ht="26.25" customHeight="1" x14ac:dyDescent="0.3">
      <c r="B35" s="21"/>
      <c r="C35" s="160"/>
      <c r="D35" s="31" t="s">
        <v>34</v>
      </c>
      <c r="E35" s="157"/>
      <c r="F35" s="157"/>
      <c r="G35" s="98" t="s">
        <v>35</v>
      </c>
      <c r="H35" s="33" t="s">
        <v>36</v>
      </c>
      <c r="I35" s="157"/>
      <c r="J35" s="157"/>
      <c r="K35" s="157"/>
      <c r="L35" s="267">
        <f>ROUND(SUM($M$27:$M$33),2)</f>
        <v>0</v>
      </c>
      <c r="M35" s="266"/>
      <c r="N35" s="266"/>
      <c r="O35" s="266"/>
      <c r="P35" s="268"/>
      <c r="Q35" s="160"/>
      <c r="R35" s="22"/>
    </row>
    <row r="36" spans="2:18" s="154" customFormat="1" ht="15" customHeight="1" x14ac:dyDescent="0.3">
      <c r="B36" s="21"/>
      <c r="R36" s="22"/>
    </row>
    <row r="37" spans="2:18" s="154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154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154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154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154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154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154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154" customFormat="1" ht="37.5" customHeight="1" x14ac:dyDescent="0.3">
      <c r="B75" s="21"/>
      <c r="C75" s="249" t="s">
        <v>85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2"/>
    </row>
    <row r="76" spans="2:18" s="154" customFormat="1" ht="7.5" customHeight="1" x14ac:dyDescent="0.3">
      <c r="B76" s="21"/>
      <c r="R76" s="22"/>
    </row>
    <row r="77" spans="2:18" s="154" customFormat="1" ht="24.95" customHeight="1" x14ac:dyDescent="0.3">
      <c r="B77" s="21"/>
      <c r="C77" s="18" t="s">
        <v>12</v>
      </c>
      <c r="F77" s="306" t="str">
        <f>$F$6</f>
        <v>Instalace FVE s akumulací pro vlastní spotřebu elektřiny ve společnosti ČEPRO, a.s. v areálu Mstětice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R77" s="22"/>
    </row>
    <row r="78" spans="2:18" ht="24.95" customHeight="1" x14ac:dyDescent="0.3">
      <c r="B78" s="11"/>
      <c r="C78" s="18" t="s">
        <v>82</v>
      </c>
      <c r="F78" s="306" t="str">
        <f>F7</f>
        <v>IO 01 - Propoj mezi kotelnou a budovou č. 700/1 - Sklad a výdej olejů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R78" s="12"/>
    </row>
    <row r="79" spans="2:18" s="154" customFormat="1" ht="37.5" customHeight="1" x14ac:dyDescent="0.3">
      <c r="B79" s="21"/>
      <c r="C79" s="51" t="s">
        <v>83</v>
      </c>
      <c r="F79" s="269" t="str">
        <f>F8</f>
        <v>IO 01 - Propoj mezi kotelnou a budovou č. 700/1 - Sklad a výdej olejů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R79" s="22"/>
    </row>
    <row r="80" spans="2:18" s="154" customFormat="1" ht="7.5" customHeight="1" x14ac:dyDescent="0.3">
      <c r="B80" s="21"/>
      <c r="R80" s="22"/>
    </row>
    <row r="81" spans="2:47" s="154" customFormat="1" ht="18.75" customHeight="1" x14ac:dyDescent="0.3">
      <c r="B81" s="21"/>
      <c r="C81" s="18" t="s">
        <v>15</v>
      </c>
      <c r="F81" s="156" t="str">
        <f>$F$10</f>
        <v>Areál skladu ČEPRO, a.s.; Mstětice 3, 250 91 Zeleneč</v>
      </c>
      <c r="L81" s="18" t="s">
        <v>16</v>
      </c>
      <c r="M81" s="346">
        <f>IF($O$10="","",$O$10)</f>
        <v>44105</v>
      </c>
      <c r="N81" s="254"/>
      <c r="O81" s="254"/>
      <c r="P81" s="254"/>
      <c r="R81" s="22"/>
    </row>
    <row r="82" spans="2:47" s="154" customFormat="1" ht="7.5" customHeight="1" x14ac:dyDescent="0.3">
      <c r="B82" s="21"/>
      <c r="R82" s="22"/>
    </row>
    <row r="83" spans="2:47" s="154" customFormat="1" ht="15.75" customHeight="1" x14ac:dyDescent="0.3">
      <c r="B83" s="21"/>
      <c r="C83" s="18" t="s">
        <v>17</v>
      </c>
      <c r="F83" s="156" t="str">
        <f>$E$13</f>
        <v>ČEPRO, a.s., Dělnická 213/12, Holešovice, 170 00 Praha 7</v>
      </c>
      <c r="L83" s="18" t="s">
        <v>22</v>
      </c>
      <c r="M83" s="253" t="str">
        <f>$E$19</f>
        <v>YOUNG4ENERGY s.r.o.</v>
      </c>
      <c r="N83" s="254"/>
      <c r="O83" s="254"/>
      <c r="P83" s="254"/>
      <c r="Q83" s="254"/>
      <c r="R83" s="22"/>
    </row>
    <row r="84" spans="2:47" s="154" customFormat="1" ht="15" customHeight="1" x14ac:dyDescent="0.3">
      <c r="B84" s="21"/>
      <c r="C84" s="18" t="s">
        <v>20</v>
      </c>
      <c r="F84" s="156" t="str">
        <f>IF($E$16="","",$E$16)</f>
        <v>Vyplň údaj</v>
      </c>
      <c r="L84" s="18" t="s">
        <v>23</v>
      </c>
      <c r="M84" s="253" t="str">
        <f>$E$22</f>
        <v>YOUNG4ENERGY s.r.o.</v>
      </c>
      <c r="N84" s="254"/>
      <c r="O84" s="254"/>
      <c r="P84" s="254"/>
      <c r="Q84" s="254"/>
      <c r="R84" s="22"/>
    </row>
    <row r="85" spans="2:47" s="154" customFormat="1" ht="11.25" customHeight="1" x14ac:dyDescent="0.3">
      <c r="B85" s="21"/>
      <c r="R85" s="22"/>
    </row>
    <row r="86" spans="2:47" s="154" customFormat="1" ht="30" customHeight="1" x14ac:dyDescent="0.3">
      <c r="B86" s="21"/>
      <c r="C86" s="315" t="s">
        <v>86</v>
      </c>
      <c r="D86" s="287"/>
      <c r="E86" s="287"/>
      <c r="F86" s="287"/>
      <c r="G86" s="287"/>
      <c r="H86" s="160"/>
      <c r="I86" s="160"/>
      <c r="J86" s="160"/>
      <c r="K86" s="160"/>
      <c r="L86" s="160"/>
      <c r="M86" s="160"/>
      <c r="N86" s="315" t="s">
        <v>87</v>
      </c>
      <c r="O86" s="254"/>
      <c r="P86" s="254"/>
      <c r="Q86" s="254"/>
      <c r="R86" s="22"/>
    </row>
    <row r="87" spans="2:47" s="154" customFormat="1" ht="11.25" customHeight="1" x14ac:dyDescent="0.3">
      <c r="B87" s="21"/>
      <c r="R87" s="22"/>
    </row>
    <row r="88" spans="2:47" s="154" customFormat="1" ht="30" customHeight="1" x14ac:dyDescent="0.3">
      <c r="B88" s="21"/>
      <c r="C88" s="159" t="s">
        <v>88</v>
      </c>
      <c r="N88" s="276">
        <f>ROUND($N$110,2)</f>
        <v>0</v>
      </c>
      <c r="O88" s="254"/>
      <c r="P88" s="254"/>
      <c r="Q88" s="254"/>
      <c r="R88" s="22"/>
      <c r="AU88" s="154" t="s">
        <v>89</v>
      </c>
    </row>
    <row r="89" spans="2:47" s="76" customFormat="1" ht="21" customHeight="1" x14ac:dyDescent="0.35">
      <c r="B89" s="101"/>
      <c r="D89" s="113" t="str">
        <f>D111</f>
        <v>Elektromateriál</v>
      </c>
      <c r="E89" s="64"/>
      <c r="F89" s="64"/>
      <c r="G89" s="64"/>
      <c r="H89" s="64"/>
      <c r="I89" s="64"/>
      <c r="J89" s="64"/>
      <c r="K89" s="64"/>
      <c r="L89" s="64"/>
      <c r="M89" s="64"/>
      <c r="N89" s="310">
        <f>ROUND($N$111,2)</f>
        <v>0</v>
      </c>
      <c r="O89" s="311"/>
      <c r="P89" s="311"/>
      <c r="Q89" s="311"/>
      <c r="R89" s="102"/>
    </row>
    <row r="90" spans="2:47" s="76" customFormat="1" ht="21" customHeight="1" x14ac:dyDescent="0.35">
      <c r="B90" s="101"/>
      <c r="D90" s="113" t="str">
        <f>D120</f>
        <v>Ostatní materiál</v>
      </c>
      <c r="E90" s="64"/>
      <c r="F90" s="64"/>
      <c r="G90" s="64"/>
      <c r="H90" s="64"/>
      <c r="I90" s="64"/>
      <c r="J90" s="64"/>
      <c r="K90" s="64"/>
      <c r="L90" s="64"/>
      <c r="M90" s="64"/>
      <c r="N90" s="310">
        <f>ROUND($N$120,2)</f>
        <v>0</v>
      </c>
      <c r="O90" s="311"/>
      <c r="P90" s="311"/>
      <c r="Q90" s="311"/>
      <c r="R90" s="102"/>
    </row>
    <row r="91" spans="2:47" s="154" customFormat="1" ht="14.25" customHeight="1" x14ac:dyDescent="0.3">
      <c r="B91" s="21"/>
      <c r="R91" s="22"/>
    </row>
    <row r="92" spans="2:47" s="154" customFormat="1" ht="30" customHeight="1" x14ac:dyDescent="0.3">
      <c r="B92" s="21"/>
      <c r="C92" s="94" t="s">
        <v>141</v>
      </c>
      <c r="D92" s="160"/>
      <c r="E92" s="160"/>
      <c r="F92" s="160"/>
      <c r="G92" s="160"/>
      <c r="H92" s="160"/>
      <c r="I92" s="160"/>
      <c r="J92" s="160"/>
      <c r="K92" s="160"/>
      <c r="L92" s="286">
        <f>ROUND(SUM($N$89:$Q$90),2)</f>
        <v>0</v>
      </c>
      <c r="M92" s="287"/>
      <c r="N92" s="287"/>
      <c r="O92" s="287"/>
      <c r="P92" s="287"/>
      <c r="Q92" s="287"/>
      <c r="R92" s="22"/>
    </row>
    <row r="93" spans="2:47" s="154" customFormat="1" ht="7.5" customHeight="1" x14ac:dyDescent="0.3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5"/>
    </row>
    <row r="97" spans="2:63" s="154" customFormat="1" ht="7.5" customHeight="1" x14ac:dyDescent="0.3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2"/>
    </row>
    <row r="98" spans="2:63" s="154" customFormat="1" ht="37.5" customHeight="1" x14ac:dyDescent="0.3">
      <c r="B98" s="203"/>
      <c r="C98" s="338" t="s">
        <v>90</v>
      </c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204"/>
    </row>
    <row r="99" spans="2:63" s="154" customFormat="1" ht="7.5" customHeight="1" x14ac:dyDescent="0.3">
      <c r="B99" s="203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4"/>
    </row>
    <row r="100" spans="2:63" s="154" customFormat="1" ht="24.95" customHeight="1" x14ac:dyDescent="0.3">
      <c r="B100" s="203"/>
      <c r="C100" s="206" t="s">
        <v>12</v>
      </c>
      <c r="D100" s="205"/>
      <c r="E100" s="205"/>
      <c r="F100" s="339" t="str">
        <f>$F$6</f>
        <v>Instalace FVE s akumulací pro vlastní spotřebu elektřiny ve společnosti ČEPRO, a.s. v areálu Mstětice</v>
      </c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205"/>
      <c r="R100" s="204"/>
    </row>
    <row r="101" spans="2:63" ht="24.95" customHeight="1" x14ac:dyDescent="0.3">
      <c r="B101" s="207"/>
      <c r="C101" s="206" t="s">
        <v>82</v>
      </c>
      <c r="D101" s="208"/>
      <c r="E101" s="208"/>
      <c r="F101" s="339" t="str">
        <f>F7</f>
        <v>IO 01 - Propoj mezi kotelnou a budovou č. 700/1 - Sklad a výdej olejů</v>
      </c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208"/>
      <c r="R101" s="209"/>
    </row>
    <row r="102" spans="2:63" s="154" customFormat="1" ht="37.5" customHeight="1" x14ac:dyDescent="0.3">
      <c r="B102" s="203"/>
      <c r="C102" s="210" t="s">
        <v>83</v>
      </c>
      <c r="D102" s="205"/>
      <c r="E102" s="205"/>
      <c r="F102" s="334" t="str">
        <f>F8</f>
        <v>IO 01 - Propoj mezi kotelnou a budovou č. 700/1 - Sklad a výdej olejů</v>
      </c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205"/>
      <c r="R102" s="204"/>
    </row>
    <row r="103" spans="2:63" s="154" customFormat="1" ht="7.5" customHeight="1" x14ac:dyDescent="0.3">
      <c r="B103" s="203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4"/>
    </row>
    <row r="104" spans="2:63" s="154" customFormat="1" ht="18.75" customHeight="1" x14ac:dyDescent="0.3">
      <c r="B104" s="203"/>
      <c r="C104" s="206" t="s">
        <v>15</v>
      </c>
      <c r="D104" s="205"/>
      <c r="E104" s="205"/>
      <c r="F104" s="211" t="str">
        <f>$F$10</f>
        <v>Areál skladu ČEPRO, a.s.; Mstětice 3, 250 91 Zeleneč</v>
      </c>
      <c r="G104" s="205"/>
      <c r="H104" s="205"/>
      <c r="I104" s="205"/>
      <c r="J104" s="205"/>
      <c r="K104" s="205"/>
      <c r="L104" s="206" t="s">
        <v>16</v>
      </c>
      <c r="M104" s="336">
        <f>IF($O$10="","",$O$10)</f>
        <v>44105</v>
      </c>
      <c r="N104" s="335"/>
      <c r="O104" s="335"/>
      <c r="P104" s="335"/>
      <c r="Q104" s="205"/>
      <c r="R104" s="204"/>
    </row>
    <row r="105" spans="2:63" s="154" customFormat="1" ht="7.5" customHeight="1" x14ac:dyDescent="0.3">
      <c r="B105" s="203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4"/>
    </row>
    <row r="106" spans="2:63" s="154" customFormat="1" ht="15.75" customHeight="1" x14ac:dyDescent="0.3">
      <c r="B106" s="203"/>
      <c r="C106" s="206" t="s">
        <v>17</v>
      </c>
      <c r="D106" s="205"/>
      <c r="E106" s="205"/>
      <c r="F106" s="211" t="str">
        <f>$E$13</f>
        <v>ČEPRO, a.s., Dělnická 213/12, Holešovice, 170 00 Praha 7</v>
      </c>
      <c r="G106" s="205"/>
      <c r="H106" s="205"/>
      <c r="I106" s="205"/>
      <c r="J106" s="205"/>
      <c r="K106" s="205"/>
      <c r="L106" s="206" t="s">
        <v>22</v>
      </c>
      <c r="M106" s="337" t="str">
        <f>$E$19</f>
        <v>YOUNG4ENERGY s.r.o.</v>
      </c>
      <c r="N106" s="335"/>
      <c r="O106" s="335"/>
      <c r="P106" s="335"/>
      <c r="Q106" s="335"/>
      <c r="R106" s="204"/>
    </row>
    <row r="107" spans="2:63" s="154" customFormat="1" ht="15" customHeight="1" x14ac:dyDescent="0.3">
      <c r="B107" s="203"/>
      <c r="C107" s="206" t="s">
        <v>20</v>
      </c>
      <c r="D107" s="205"/>
      <c r="E107" s="205"/>
      <c r="F107" s="211" t="str">
        <f>IF($E$16="","",$E$16)</f>
        <v>Vyplň údaj</v>
      </c>
      <c r="G107" s="205"/>
      <c r="H107" s="205"/>
      <c r="I107" s="205"/>
      <c r="J107" s="205"/>
      <c r="K107" s="205"/>
      <c r="L107" s="206" t="s">
        <v>23</v>
      </c>
      <c r="M107" s="337" t="str">
        <f>$E$22</f>
        <v>YOUNG4ENERGY s.r.o.</v>
      </c>
      <c r="N107" s="335"/>
      <c r="O107" s="335"/>
      <c r="P107" s="335"/>
      <c r="Q107" s="335"/>
      <c r="R107" s="204"/>
    </row>
    <row r="108" spans="2:63" s="154" customFormat="1" ht="11.25" customHeight="1" x14ac:dyDescent="0.3">
      <c r="B108" s="203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4"/>
    </row>
    <row r="109" spans="2:63" s="107" customFormat="1" ht="30" customHeight="1" x14ac:dyDescent="0.3">
      <c r="B109" s="212"/>
      <c r="C109" s="104" t="s">
        <v>91</v>
      </c>
      <c r="D109" s="198" t="s">
        <v>92</v>
      </c>
      <c r="E109" s="198" t="s">
        <v>45</v>
      </c>
      <c r="F109" s="317" t="s">
        <v>93</v>
      </c>
      <c r="G109" s="318"/>
      <c r="H109" s="318"/>
      <c r="I109" s="318"/>
      <c r="J109" s="198" t="s">
        <v>94</v>
      </c>
      <c r="K109" s="198" t="s">
        <v>95</v>
      </c>
      <c r="L109" s="317" t="s">
        <v>96</v>
      </c>
      <c r="M109" s="318"/>
      <c r="N109" s="317" t="s">
        <v>97</v>
      </c>
      <c r="O109" s="318"/>
      <c r="P109" s="318"/>
      <c r="Q109" s="319"/>
      <c r="R109" s="213"/>
      <c r="T109" s="55" t="s">
        <v>98</v>
      </c>
      <c r="U109" s="56" t="s">
        <v>27</v>
      </c>
      <c r="V109" s="56" t="s">
        <v>99</v>
      </c>
      <c r="W109" s="56" t="s">
        <v>100</v>
      </c>
      <c r="X109" s="56" t="s">
        <v>101</v>
      </c>
      <c r="Y109" s="56" t="s">
        <v>102</v>
      </c>
      <c r="Z109" s="56" t="s">
        <v>103</v>
      </c>
      <c r="AA109" s="57" t="s">
        <v>104</v>
      </c>
    </row>
    <row r="110" spans="2:63" s="154" customFormat="1" ht="30" customHeight="1" x14ac:dyDescent="0.3">
      <c r="B110" s="203"/>
      <c r="C110" s="214" t="s">
        <v>84</v>
      </c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341">
        <f>N120+N111</f>
        <v>0</v>
      </c>
      <c r="O110" s="335"/>
      <c r="P110" s="335"/>
      <c r="Q110" s="335"/>
      <c r="R110" s="204"/>
      <c r="T110" s="58"/>
      <c r="U110" s="35"/>
      <c r="V110" s="35"/>
      <c r="W110" s="108" t="e">
        <f>#REF!+#REF!+#REF!</f>
        <v>#REF!</v>
      </c>
      <c r="X110" s="35"/>
      <c r="Y110" s="108" t="e">
        <f>#REF!+#REF!+#REF!</f>
        <v>#REF!</v>
      </c>
      <c r="Z110" s="35"/>
      <c r="AA110" s="109" t="e">
        <f>#REF!+#REF!+#REF!</f>
        <v>#REF!</v>
      </c>
      <c r="AT110" s="154" t="s">
        <v>62</v>
      </c>
      <c r="AU110" s="154" t="s">
        <v>89</v>
      </c>
      <c r="BK110" s="110" t="e">
        <f>#REF!+#REF!+#REF!</f>
        <v>#REF!</v>
      </c>
    </row>
    <row r="111" spans="2:63" s="141" customFormat="1" ht="24.95" customHeight="1" x14ac:dyDescent="0.35">
      <c r="B111" s="215"/>
      <c r="C111" s="216"/>
      <c r="D111" s="217" t="s">
        <v>367</v>
      </c>
      <c r="E111" s="217"/>
      <c r="F111" s="217"/>
      <c r="G111" s="217"/>
      <c r="H111" s="217"/>
      <c r="I111" s="217"/>
      <c r="J111" s="217"/>
      <c r="K111" s="217"/>
      <c r="L111" s="217"/>
      <c r="M111" s="217"/>
      <c r="N111" s="329">
        <f>+N116+N112+N118</f>
        <v>0</v>
      </c>
      <c r="O111" s="329"/>
      <c r="P111" s="329"/>
      <c r="Q111" s="329"/>
      <c r="R111" s="218"/>
      <c r="T111" s="143"/>
      <c r="W111" s="144"/>
      <c r="Y111" s="144"/>
      <c r="AA111" s="145"/>
      <c r="AR111" s="161"/>
      <c r="AT111" s="161"/>
      <c r="AU111" s="161"/>
      <c r="AY111" s="161"/>
      <c r="BK111" s="146"/>
    </row>
    <row r="112" spans="2:63" s="232" customFormat="1" ht="20.100000000000001" customHeight="1" x14ac:dyDescent="0.3">
      <c r="B112" s="175"/>
      <c r="C112" s="141"/>
      <c r="D112" s="138" t="s">
        <v>362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297">
        <f>SUM(N113:Q115)</f>
        <v>0</v>
      </c>
      <c r="O112" s="298"/>
      <c r="P112" s="298"/>
      <c r="Q112" s="298"/>
      <c r="R112" s="176"/>
      <c r="T112" s="133"/>
      <c r="U112" s="177"/>
      <c r="V112" s="181"/>
      <c r="W112" s="181"/>
      <c r="X112" s="181"/>
      <c r="Y112" s="181"/>
      <c r="Z112" s="181"/>
      <c r="AA112" s="126"/>
      <c r="BE112" s="178"/>
      <c r="BF112" s="178"/>
      <c r="BG112" s="178"/>
      <c r="BH112" s="178"/>
      <c r="BI112" s="178"/>
      <c r="BK112" s="178"/>
    </row>
    <row r="113" spans="2:63" s="232" customFormat="1" ht="35.1" customHeight="1" x14ac:dyDescent="0.3">
      <c r="B113" s="175"/>
      <c r="C113" s="179">
        <v>1</v>
      </c>
      <c r="D113" s="131"/>
      <c r="E113" s="190"/>
      <c r="F113" s="295" t="s">
        <v>218</v>
      </c>
      <c r="G113" s="296" t="s">
        <v>148</v>
      </c>
      <c r="H113" s="296" t="s">
        <v>148</v>
      </c>
      <c r="I113" s="296" t="s">
        <v>148</v>
      </c>
      <c r="J113" s="182" t="s">
        <v>112</v>
      </c>
      <c r="K113" s="180">
        <v>3</v>
      </c>
      <c r="L113" s="290">
        <v>0</v>
      </c>
      <c r="M113" s="291"/>
      <c r="N113" s="288">
        <f>ROUND(L113*K113,2)</f>
        <v>0</v>
      </c>
      <c r="O113" s="289"/>
      <c r="P113" s="289"/>
      <c r="Q113" s="289"/>
      <c r="R113" s="176"/>
      <c r="T113" s="133"/>
      <c r="U113" s="177"/>
      <c r="V113" s="181"/>
      <c r="W113" s="181"/>
      <c r="X113" s="181"/>
      <c r="Y113" s="181"/>
      <c r="Z113" s="181"/>
      <c r="AA113" s="126"/>
      <c r="BE113" s="178"/>
      <c r="BF113" s="178"/>
      <c r="BG113" s="178"/>
      <c r="BH113" s="178"/>
      <c r="BI113" s="178"/>
      <c r="BK113" s="178"/>
    </row>
    <row r="114" spans="2:63" s="232" customFormat="1" ht="45" customHeight="1" x14ac:dyDescent="0.3">
      <c r="B114" s="175"/>
      <c r="C114" s="179">
        <f>C113+1</f>
        <v>2</v>
      </c>
      <c r="D114" s="131"/>
      <c r="E114" s="190"/>
      <c r="F114" s="295" t="s">
        <v>217</v>
      </c>
      <c r="G114" s="296" t="s">
        <v>149</v>
      </c>
      <c r="H114" s="296" t="s">
        <v>149</v>
      </c>
      <c r="I114" s="296" t="s">
        <v>149</v>
      </c>
      <c r="J114" s="182" t="s">
        <v>109</v>
      </c>
      <c r="K114" s="180">
        <v>1</v>
      </c>
      <c r="L114" s="290">
        <v>0</v>
      </c>
      <c r="M114" s="291"/>
      <c r="N114" s="288">
        <f>ROUND(L114*K114,2)</f>
        <v>0</v>
      </c>
      <c r="O114" s="289"/>
      <c r="P114" s="289"/>
      <c r="Q114" s="289"/>
      <c r="R114" s="176"/>
      <c r="T114" s="133"/>
      <c r="U114" s="177"/>
      <c r="V114" s="181"/>
      <c r="W114" s="181"/>
      <c r="X114" s="181"/>
      <c r="Y114" s="181"/>
      <c r="Z114" s="181"/>
      <c r="AA114" s="126"/>
      <c r="BE114" s="178"/>
      <c r="BF114" s="178"/>
      <c r="BG114" s="178"/>
      <c r="BH114" s="178"/>
      <c r="BI114" s="178"/>
      <c r="BK114" s="178"/>
    </row>
    <row r="115" spans="2:63" s="232" customFormat="1" ht="20.100000000000001" customHeight="1" x14ac:dyDescent="0.3">
      <c r="B115" s="175"/>
      <c r="C115" s="179">
        <f>C114+1</f>
        <v>3</v>
      </c>
      <c r="D115" s="131"/>
      <c r="E115" s="190"/>
      <c r="F115" s="295" t="s">
        <v>166</v>
      </c>
      <c r="G115" s="296" t="s">
        <v>149</v>
      </c>
      <c r="H115" s="296" t="s">
        <v>149</v>
      </c>
      <c r="I115" s="296" t="s">
        <v>149</v>
      </c>
      <c r="J115" s="182" t="s">
        <v>139</v>
      </c>
      <c r="K115" s="180">
        <v>5</v>
      </c>
      <c r="L115" s="290">
        <v>0</v>
      </c>
      <c r="M115" s="291"/>
      <c r="N115" s="288">
        <f>ROUND(L115*K115,2)</f>
        <v>0</v>
      </c>
      <c r="O115" s="289"/>
      <c r="P115" s="289"/>
      <c r="Q115" s="289"/>
      <c r="R115" s="176"/>
      <c r="T115" s="133"/>
      <c r="U115" s="177"/>
      <c r="V115" s="181"/>
      <c r="W115" s="181"/>
      <c r="X115" s="181"/>
      <c r="Y115" s="181"/>
      <c r="Z115" s="181"/>
      <c r="AA115" s="126"/>
      <c r="BE115" s="178"/>
      <c r="BF115" s="178"/>
      <c r="BG115" s="178"/>
      <c r="BH115" s="178"/>
      <c r="BI115" s="178"/>
      <c r="BK115" s="178"/>
    </row>
    <row r="116" spans="2:63" s="154" customFormat="1" ht="20.100000000000001" customHeight="1" x14ac:dyDescent="0.3">
      <c r="B116" s="203"/>
      <c r="C116" s="216"/>
      <c r="D116" s="219" t="s">
        <v>363</v>
      </c>
      <c r="E116" s="219"/>
      <c r="F116" s="219"/>
      <c r="G116" s="219"/>
      <c r="H116" s="219"/>
      <c r="I116" s="219"/>
      <c r="J116" s="219"/>
      <c r="K116" s="219"/>
      <c r="L116" s="219"/>
      <c r="M116" s="219"/>
      <c r="N116" s="327">
        <f>SUM(N117:Q117)</f>
        <v>0</v>
      </c>
      <c r="O116" s="328"/>
      <c r="P116" s="328"/>
      <c r="Q116" s="328"/>
      <c r="R116" s="204"/>
      <c r="T116" s="124"/>
      <c r="U116" s="28"/>
      <c r="V116" s="125"/>
      <c r="W116" s="125"/>
      <c r="X116" s="125"/>
      <c r="Y116" s="125"/>
      <c r="Z116" s="125"/>
      <c r="AA116" s="126"/>
      <c r="BE116" s="88"/>
      <c r="BF116" s="88"/>
      <c r="BG116" s="88"/>
      <c r="BH116" s="88"/>
      <c r="BI116" s="88"/>
      <c r="BK116" s="88"/>
    </row>
    <row r="117" spans="2:63" s="154" customFormat="1" ht="30" customHeight="1" x14ac:dyDescent="0.3">
      <c r="B117" s="203"/>
      <c r="C117" s="179">
        <f>C115+1</f>
        <v>4</v>
      </c>
      <c r="D117" s="179"/>
      <c r="E117" s="190"/>
      <c r="F117" s="292" t="s">
        <v>261</v>
      </c>
      <c r="G117" s="293" t="s">
        <v>135</v>
      </c>
      <c r="H117" s="293" t="s">
        <v>135</v>
      </c>
      <c r="I117" s="294" t="s">
        <v>135</v>
      </c>
      <c r="J117" s="182" t="s">
        <v>107</v>
      </c>
      <c r="K117" s="180">
        <v>160</v>
      </c>
      <c r="L117" s="290">
        <v>0</v>
      </c>
      <c r="M117" s="291"/>
      <c r="N117" s="288">
        <f>ROUND(L117*K117,2)</f>
        <v>0</v>
      </c>
      <c r="O117" s="289"/>
      <c r="P117" s="289"/>
      <c r="Q117" s="289"/>
      <c r="R117" s="204"/>
      <c r="T117" s="124"/>
      <c r="U117" s="28"/>
      <c r="V117" s="125"/>
      <c r="W117" s="125"/>
      <c r="X117" s="125"/>
      <c r="Y117" s="125"/>
      <c r="Z117" s="125"/>
      <c r="AA117" s="126"/>
      <c r="BE117" s="88"/>
      <c r="BF117" s="88"/>
      <c r="BG117" s="88"/>
      <c r="BH117" s="88"/>
      <c r="BI117" s="88"/>
      <c r="BK117" s="88"/>
    </row>
    <row r="118" spans="2:63" s="232" customFormat="1" ht="30" customHeight="1" x14ac:dyDescent="0.3">
      <c r="B118" s="203"/>
      <c r="C118" s="132"/>
      <c r="D118" s="138" t="s">
        <v>366</v>
      </c>
      <c r="E118" s="138"/>
      <c r="F118" s="138"/>
      <c r="G118" s="138"/>
      <c r="H118" s="138"/>
      <c r="I118" s="138"/>
      <c r="J118" s="138"/>
      <c r="K118" s="138"/>
      <c r="L118" s="138"/>
      <c r="M118" s="138"/>
      <c r="N118" s="297">
        <f>SUM(N119)</f>
        <v>0</v>
      </c>
      <c r="O118" s="298"/>
      <c r="P118" s="298"/>
      <c r="Q118" s="298"/>
      <c r="R118" s="204"/>
      <c r="T118" s="124"/>
      <c r="U118" s="177"/>
      <c r="V118" s="181"/>
      <c r="W118" s="181"/>
      <c r="X118" s="181"/>
      <c r="Y118" s="181"/>
      <c r="Z118" s="181"/>
      <c r="AA118" s="126"/>
      <c r="BE118" s="178"/>
      <c r="BF118" s="178"/>
      <c r="BG118" s="178"/>
      <c r="BH118" s="178"/>
      <c r="BI118" s="178"/>
      <c r="BK118" s="178"/>
    </row>
    <row r="119" spans="2:63" s="232" customFormat="1" ht="30" customHeight="1" x14ac:dyDescent="0.3">
      <c r="B119" s="203"/>
      <c r="C119" s="179">
        <f>C117+1</f>
        <v>5</v>
      </c>
      <c r="D119" s="179"/>
      <c r="E119" s="190"/>
      <c r="F119" s="295" t="s">
        <v>229</v>
      </c>
      <c r="G119" s="296" t="s">
        <v>151</v>
      </c>
      <c r="H119" s="296" t="s">
        <v>151</v>
      </c>
      <c r="I119" s="296" t="s">
        <v>151</v>
      </c>
      <c r="J119" s="182" t="s">
        <v>107</v>
      </c>
      <c r="K119" s="180">
        <v>10</v>
      </c>
      <c r="L119" s="290">
        <v>0</v>
      </c>
      <c r="M119" s="291"/>
      <c r="N119" s="288">
        <f>ROUND(L119*K119,2)</f>
        <v>0</v>
      </c>
      <c r="O119" s="289"/>
      <c r="P119" s="289"/>
      <c r="Q119" s="289"/>
      <c r="R119" s="204"/>
      <c r="T119" s="124"/>
      <c r="U119" s="177"/>
      <c r="V119" s="181"/>
      <c r="W119" s="181"/>
      <c r="X119" s="181"/>
      <c r="Y119" s="181"/>
      <c r="Z119" s="181"/>
      <c r="AA119" s="126"/>
      <c r="BE119" s="178"/>
      <c r="BF119" s="178"/>
      <c r="BG119" s="178"/>
      <c r="BH119" s="178"/>
      <c r="BI119" s="178"/>
      <c r="BK119" s="178"/>
    </row>
    <row r="120" spans="2:63" s="154" customFormat="1" ht="24.95" customHeight="1" x14ac:dyDescent="0.35">
      <c r="B120" s="203"/>
      <c r="C120" s="216"/>
      <c r="D120" s="217" t="s">
        <v>144</v>
      </c>
      <c r="E120" s="217"/>
      <c r="F120" s="217"/>
      <c r="G120" s="217"/>
      <c r="H120" s="217"/>
      <c r="I120" s="217"/>
      <c r="J120" s="217"/>
      <c r="K120" s="217"/>
      <c r="L120" s="217"/>
      <c r="M120" s="217"/>
      <c r="N120" s="329">
        <f>N128+N126+N121</f>
        <v>0</v>
      </c>
      <c r="O120" s="329"/>
      <c r="P120" s="329"/>
      <c r="Q120" s="329"/>
      <c r="R120" s="204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3" s="168" customFormat="1" ht="20.100000000000001" customHeight="1" x14ac:dyDescent="0.3">
      <c r="B121" s="203"/>
      <c r="C121" s="216"/>
      <c r="D121" s="219" t="s">
        <v>130</v>
      </c>
      <c r="E121" s="219"/>
      <c r="F121" s="219"/>
      <c r="G121" s="219"/>
      <c r="H121" s="219"/>
      <c r="I121" s="219"/>
      <c r="J121" s="219"/>
      <c r="K121" s="219"/>
      <c r="L121" s="219"/>
      <c r="M121" s="219"/>
      <c r="N121" s="327">
        <f>SUM(N122:Q125)</f>
        <v>0</v>
      </c>
      <c r="O121" s="328"/>
      <c r="P121" s="328"/>
      <c r="Q121" s="328"/>
      <c r="R121" s="204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3" s="192" customFormat="1" ht="20.100000000000001" customHeight="1" x14ac:dyDescent="0.3">
      <c r="B122" s="203"/>
      <c r="C122" s="179">
        <f>C119+1</f>
        <v>6</v>
      </c>
      <c r="D122" s="179"/>
      <c r="E122" s="190"/>
      <c r="F122" s="295" t="s">
        <v>238</v>
      </c>
      <c r="G122" s="296" t="s">
        <v>154</v>
      </c>
      <c r="H122" s="296" t="s">
        <v>154</v>
      </c>
      <c r="I122" s="296" t="s">
        <v>154</v>
      </c>
      <c r="J122" s="182" t="s">
        <v>112</v>
      </c>
      <c r="K122" s="180">
        <v>2</v>
      </c>
      <c r="L122" s="290">
        <v>0</v>
      </c>
      <c r="M122" s="291"/>
      <c r="N122" s="288">
        <f t="shared" ref="N122:N124" si="0">ROUND(L122*K122,2)</f>
        <v>0</v>
      </c>
      <c r="O122" s="289"/>
      <c r="P122" s="289"/>
      <c r="Q122" s="289"/>
      <c r="R122" s="204"/>
      <c r="T122" s="124"/>
      <c r="U122" s="177"/>
      <c r="V122" s="181"/>
      <c r="W122" s="181"/>
      <c r="X122" s="181"/>
      <c r="Y122" s="181"/>
      <c r="Z122" s="181"/>
      <c r="AA122" s="126"/>
      <c r="BE122" s="178"/>
      <c r="BF122" s="178"/>
      <c r="BG122" s="178"/>
      <c r="BH122" s="178"/>
      <c r="BI122" s="178"/>
      <c r="BK122" s="178"/>
    </row>
    <row r="123" spans="2:63" s="154" customFormat="1" ht="20.100000000000001" customHeight="1" x14ac:dyDescent="0.3">
      <c r="B123" s="203"/>
      <c r="C123" s="179">
        <f t="shared" ref="C123" si="1">C122+1</f>
        <v>7</v>
      </c>
      <c r="D123" s="179"/>
      <c r="E123" s="190"/>
      <c r="F123" s="295" t="s">
        <v>239</v>
      </c>
      <c r="G123" s="296" t="s">
        <v>140</v>
      </c>
      <c r="H123" s="296" t="s">
        <v>140</v>
      </c>
      <c r="I123" s="296" t="s">
        <v>140</v>
      </c>
      <c r="J123" s="182" t="s">
        <v>112</v>
      </c>
      <c r="K123" s="180">
        <v>2</v>
      </c>
      <c r="L123" s="290">
        <v>0</v>
      </c>
      <c r="M123" s="291"/>
      <c r="N123" s="288">
        <f t="shared" si="0"/>
        <v>0</v>
      </c>
      <c r="O123" s="289"/>
      <c r="P123" s="289"/>
      <c r="Q123" s="289"/>
      <c r="R123" s="204"/>
      <c r="T123" s="124"/>
      <c r="U123" s="28"/>
      <c r="V123" s="125"/>
      <c r="W123" s="125"/>
      <c r="X123" s="125"/>
      <c r="Y123" s="125"/>
      <c r="Z123" s="125"/>
      <c r="AA123" s="126"/>
      <c r="BE123" s="88"/>
      <c r="BF123" s="88"/>
      <c r="BG123" s="88"/>
      <c r="BH123" s="88"/>
      <c r="BI123" s="88"/>
      <c r="BK123" s="88"/>
    </row>
    <row r="124" spans="2:63" s="232" customFormat="1" ht="30" customHeight="1" x14ac:dyDescent="0.3">
      <c r="B124" s="203"/>
      <c r="C124" s="179">
        <f>C123+1</f>
        <v>8</v>
      </c>
      <c r="D124" s="179"/>
      <c r="E124" s="190"/>
      <c r="F124" s="295" t="s">
        <v>199</v>
      </c>
      <c r="G124" s="296" t="s">
        <v>155</v>
      </c>
      <c r="H124" s="296" t="s">
        <v>155</v>
      </c>
      <c r="I124" s="296" t="s">
        <v>155</v>
      </c>
      <c r="J124" s="182" t="s">
        <v>112</v>
      </c>
      <c r="K124" s="180">
        <v>10</v>
      </c>
      <c r="L124" s="290">
        <v>0</v>
      </c>
      <c r="M124" s="291"/>
      <c r="N124" s="288">
        <f t="shared" si="0"/>
        <v>0</v>
      </c>
      <c r="O124" s="289"/>
      <c r="P124" s="289"/>
      <c r="Q124" s="289"/>
      <c r="R124" s="204"/>
      <c r="T124" s="124"/>
      <c r="U124" s="177"/>
      <c r="V124" s="181"/>
      <c r="W124" s="181"/>
      <c r="X124" s="181"/>
      <c r="Y124" s="181"/>
      <c r="Z124" s="181"/>
      <c r="AA124" s="126"/>
      <c r="BE124" s="178"/>
      <c r="BF124" s="178"/>
      <c r="BG124" s="178"/>
      <c r="BH124" s="178"/>
      <c r="BI124" s="178"/>
      <c r="BK124" s="178"/>
    </row>
    <row r="125" spans="2:63" s="154" customFormat="1" ht="30" customHeight="1" x14ac:dyDescent="0.3">
      <c r="B125" s="203"/>
      <c r="C125" s="179">
        <f>C124+1</f>
        <v>9</v>
      </c>
      <c r="D125" s="179"/>
      <c r="E125" s="190"/>
      <c r="F125" s="295" t="s">
        <v>219</v>
      </c>
      <c r="G125" s="296" t="s">
        <v>125</v>
      </c>
      <c r="H125" s="296" t="s">
        <v>125</v>
      </c>
      <c r="I125" s="296" t="s">
        <v>125</v>
      </c>
      <c r="J125" s="182" t="s">
        <v>112</v>
      </c>
      <c r="K125" s="180">
        <v>2</v>
      </c>
      <c r="L125" s="300">
        <v>0</v>
      </c>
      <c r="M125" s="301"/>
      <c r="N125" s="288">
        <f t="shared" ref="N125" si="2">ROUND(K125*L125,2)</f>
        <v>0</v>
      </c>
      <c r="O125" s="289"/>
      <c r="P125" s="289"/>
      <c r="Q125" s="289"/>
      <c r="R125" s="204"/>
      <c r="T125" s="124"/>
      <c r="U125" s="28"/>
      <c r="V125" s="125"/>
      <c r="W125" s="125"/>
      <c r="X125" s="125"/>
      <c r="Y125" s="125"/>
      <c r="Z125" s="125"/>
      <c r="AA125" s="126"/>
      <c r="BE125" s="88"/>
      <c r="BF125" s="88"/>
      <c r="BG125" s="88"/>
      <c r="BH125" s="88"/>
      <c r="BI125" s="88"/>
      <c r="BK125" s="88"/>
    </row>
    <row r="126" spans="2:63" s="141" customFormat="1" ht="20.100000000000001" customHeight="1" x14ac:dyDescent="0.3">
      <c r="B126" s="215"/>
      <c r="C126" s="216"/>
      <c r="D126" s="219" t="s">
        <v>364</v>
      </c>
      <c r="E126" s="219"/>
      <c r="F126" s="219"/>
      <c r="G126" s="219"/>
      <c r="H126" s="219"/>
      <c r="I126" s="219"/>
      <c r="J126" s="219"/>
      <c r="K126" s="219"/>
      <c r="L126" s="219"/>
      <c r="M126" s="219"/>
      <c r="N126" s="327">
        <f>SUM(N127:Q127)</f>
        <v>0</v>
      </c>
      <c r="O126" s="328"/>
      <c r="P126" s="328"/>
      <c r="Q126" s="328"/>
      <c r="R126" s="218"/>
      <c r="T126" s="143"/>
      <c r="W126" s="144"/>
      <c r="Y126" s="144"/>
      <c r="AA126" s="145"/>
      <c r="AR126" s="161"/>
      <c r="AT126" s="161"/>
      <c r="AU126" s="161"/>
      <c r="AY126" s="161"/>
      <c r="BK126" s="146"/>
    </row>
    <row r="127" spans="2:63" s="154" customFormat="1" ht="20.100000000000001" customHeight="1" x14ac:dyDescent="0.3">
      <c r="B127" s="203"/>
      <c r="C127" s="179">
        <f>C125+1</f>
        <v>10</v>
      </c>
      <c r="D127" s="179"/>
      <c r="E127" s="190"/>
      <c r="F127" s="292" t="s">
        <v>361</v>
      </c>
      <c r="G127" s="293" t="s">
        <v>157</v>
      </c>
      <c r="H127" s="293" t="s">
        <v>157</v>
      </c>
      <c r="I127" s="294" t="s">
        <v>157</v>
      </c>
      <c r="J127" s="182" t="s">
        <v>107</v>
      </c>
      <c r="K127" s="180">
        <v>160</v>
      </c>
      <c r="L127" s="300">
        <v>0</v>
      </c>
      <c r="M127" s="301"/>
      <c r="N127" s="302">
        <f>ROUND(L127*K127,2)</f>
        <v>0</v>
      </c>
      <c r="O127" s="303"/>
      <c r="P127" s="303"/>
      <c r="Q127" s="304"/>
      <c r="R127" s="204"/>
      <c r="T127" s="133"/>
      <c r="U127" s="28"/>
      <c r="V127" s="125"/>
      <c r="W127" s="125"/>
      <c r="X127" s="125"/>
      <c r="Y127" s="125"/>
      <c r="Z127" s="125"/>
      <c r="AA127" s="126"/>
      <c r="BE127" s="88"/>
      <c r="BF127" s="88"/>
      <c r="BG127" s="88"/>
      <c r="BH127" s="88"/>
      <c r="BI127" s="88"/>
      <c r="BK127" s="88"/>
    </row>
    <row r="128" spans="2:63" s="154" customFormat="1" ht="20.100000000000001" customHeight="1" x14ac:dyDescent="0.3">
      <c r="B128" s="203"/>
      <c r="C128" s="216"/>
      <c r="D128" s="219" t="s">
        <v>365</v>
      </c>
      <c r="E128" s="219"/>
      <c r="F128" s="219"/>
      <c r="G128" s="219"/>
      <c r="H128" s="219"/>
      <c r="I128" s="219"/>
      <c r="J128" s="219"/>
      <c r="K128" s="219"/>
      <c r="L128" s="219"/>
      <c r="M128" s="219"/>
      <c r="N128" s="327">
        <f>SUM(N129:Q130)</f>
        <v>0</v>
      </c>
      <c r="O128" s="328"/>
      <c r="P128" s="328"/>
      <c r="Q128" s="328"/>
      <c r="R128" s="204"/>
      <c r="T128" s="124"/>
      <c r="U128" s="28"/>
      <c r="V128" s="125"/>
      <c r="W128" s="125"/>
      <c r="X128" s="125"/>
      <c r="Y128" s="125"/>
      <c r="Z128" s="125"/>
      <c r="AA128" s="126"/>
      <c r="BE128" s="88"/>
      <c r="BF128" s="88"/>
      <c r="BG128" s="88"/>
      <c r="BH128" s="88"/>
      <c r="BI128" s="88"/>
      <c r="BK128" s="88"/>
    </row>
    <row r="129" spans="2:63" s="154" customFormat="1" ht="60" customHeight="1" x14ac:dyDescent="0.3">
      <c r="B129" s="203"/>
      <c r="C129" s="179">
        <f>C127+1</f>
        <v>11</v>
      </c>
      <c r="D129" s="179"/>
      <c r="E129" s="189"/>
      <c r="F129" s="295" t="s">
        <v>233</v>
      </c>
      <c r="G129" s="296" t="s">
        <v>158</v>
      </c>
      <c r="H129" s="296" t="s">
        <v>158</v>
      </c>
      <c r="I129" s="296" t="s">
        <v>158</v>
      </c>
      <c r="J129" s="122" t="s">
        <v>109</v>
      </c>
      <c r="K129" s="180">
        <v>1</v>
      </c>
      <c r="L129" s="290">
        <v>0</v>
      </c>
      <c r="M129" s="291"/>
      <c r="N129" s="288">
        <f>ROUND(K129*L129,2)</f>
        <v>0</v>
      </c>
      <c r="O129" s="289"/>
      <c r="P129" s="289"/>
      <c r="Q129" s="289"/>
      <c r="R129" s="204"/>
      <c r="T129" s="124"/>
      <c r="U129" s="28"/>
      <c r="V129" s="125"/>
      <c r="W129" s="125"/>
      <c r="X129" s="125"/>
      <c r="Y129" s="125"/>
      <c r="Z129" s="125"/>
      <c r="AA129" s="126"/>
      <c r="BE129" s="88"/>
      <c r="BF129" s="88"/>
      <c r="BG129" s="88"/>
      <c r="BH129" s="88"/>
      <c r="BI129" s="88"/>
      <c r="BK129" s="88"/>
    </row>
    <row r="130" spans="2:63" ht="30" customHeight="1" x14ac:dyDescent="0.3">
      <c r="B130" s="203"/>
      <c r="C130" s="179">
        <f>C129+1</f>
        <v>12</v>
      </c>
      <c r="D130" s="179"/>
      <c r="E130" s="190"/>
      <c r="F130" s="295" t="s">
        <v>375</v>
      </c>
      <c r="G130" s="296" t="s">
        <v>137</v>
      </c>
      <c r="H130" s="296" t="s">
        <v>137</v>
      </c>
      <c r="I130" s="296" t="s">
        <v>137</v>
      </c>
      <c r="J130" s="182" t="s">
        <v>107</v>
      </c>
      <c r="K130" s="180">
        <v>105</v>
      </c>
      <c r="L130" s="300">
        <v>0</v>
      </c>
      <c r="M130" s="301"/>
      <c r="N130" s="288">
        <f t="shared" ref="N130" si="3">ROUND(K130*L130,2)</f>
        <v>0</v>
      </c>
      <c r="O130" s="289"/>
      <c r="P130" s="289"/>
      <c r="Q130" s="289"/>
      <c r="R130" s="209"/>
    </row>
    <row r="131" spans="2:63" ht="7.5" customHeight="1" x14ac:dyDescent="0.3">
      <c r="B131" s="22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136"/>
    </row>
  </sheetData>
  <sheetProtection algorithmName="SHA-512" hashValue="KSzYBM554zb/jEHaB5gEOGarKTCcIkddee+DSTlDMZDN2QPRQ5DrEpXI+k/hMHFJgi0h8OUpc3Qw2NPsVJtxAQ==" saltValue="v9OaR3qMCF8aaU7Y0g7mwg==" spinCount="100000" sheet="1" selectLockedCells="1"/>
  <mergeCells count="99">
    <mergeCell ref="F79:P79"/>
    <mergeCell ref="M81:P81"/>
    <mergeCell ref="H31:J31"/>
    <mergeCell ref="M31:P31"/>
    <mergeCell ref="H32:J32"/>
    <mergeCell ref="M32:P32"/>
    <mergeCell ref="H33:J33"/>
    <mergeCell ref="M33:P33"/>
    <mergeCell ref="C86:G86"/>
    <mergeCell ref="N86:Q86"/>
    <mergeCell ref="H1:K1"/>
    <mergeCell ref="C2:Q2"/>
    <mergeCell ref="M27:P27"/>
    <mergeCell ref="H29:J29"/>
    <mergeCell ref="M29:P29"/>
    <mergeCell ref="O15:P15"/>
    <mergeCell ref="M83:Q83"/>
    <mergeCell ref="M84:Q84"/>
    <mergeCell ref="H30:J30"/>
    <mergeCell ref="M30:P30"/>
    <mergeCell ref="L35:P35"/>
    <mergeCell ref="C75:Q75"/>
    <mergeCell ref="F77:P77"/>
    <mergeCell ref="F78:P78"/>
    <mergeCell ref="S2:AC2"/>
    <mergeCell ref="C4:Q4"/>
    <mergeCell ref="F6:P6"/>
    <mergeCell ref="F7:P7"/>
    <mergeCell ref="M25:P25"/>
    <mergeCell ref="E16:L16"/>
    <mergeCell ref="O16:P16"/>
    <mergeCell ref="O18:P18"/>
    <mergeCell ref="O19:P19"/>
    <mergeCell ref="O21:P21"/>
    <mergeCell ref="O22:P22"/>
    <mergeCell ref="F8:P8"/>
    <mergeCell ref="F10:L10"/>
    <mergeCell ref="O10:P10"/>
    <mergeCell ref="O12:P12"/>
    <mergeCell ref="O13:P13"/>
    <mergeCell ref="N88:Q88"/>
    <mergeCell ref="N89:Q89"/>
    <mergeCell ref="N110:Q110"/>
    <mergeCell ref="F102:P102"/>
    <mergeCell ref="M104:P104"/>
    <mergeCell ref="M106:Q106"/>
    <mergeCell ref="M107:Q107"/>
    <mergeCell ref="F109:I109"/>
    <mergeCell ref="L109:M109"/>
    <mergeCell ref="N109:Q109"/>
    <mergeCell ref="N90:Q90"/>
    <mergeCell ref="L92:Q92"/>
    <mergeCell ref="C98:Q98"/>
    <mergeCell ref="F100:P100"/>
    <mergeCell ref="F101:P101"/>
    <mergeCell ref="N116:Q116"/>
    <mergeCell ref="N119:Q119"/>
    <mergeCell ref="N120:Q120"/>
    <mergeCell ref="N121:Q121"/>
    <mergeCell ref="F117:I117"/>
    <mergeCell ref="L117:M117"/>
    <mergeCell ref="N117:Q117"/>
    <mergeCell ref="N118:Q118"/>
    <mergeCell ref="F119:I119"/>
    <mergeCell ref="L119:M119"/>
    <mergeCell ref="N111:Q111"/>
    <mergeCell ref="L115:M115"/>
    <mergeCell ref="N112:Q112"/>
    <mergeCell ref="F113:I113"/>
    <mergeCell ref="L113:M113"/>
    <mergeCell ref="N113:Q113"/>
    <mergeCell ref="L114:M114"/>
    <mergeCell ref="N114:Q114"/>
    <mergeCell ref="N115:Q115"/>
    <mergeCell ref="F114:I114"/>
    <mergeCell ref="F115:I115"/>
    <mergeCell ref="N126:Q126"/>
    <mergeCell ref="L127:M127"/>
    <mergeCell ref="F122:I122"/>
    <mergeCell ref="L122:M122"/>
    <mergeCell ref="N122:Q122"/>
    <mergeCell ref="N124:Q124"/>
    <mergeCell ref="F127:I127"/>
    <mergeCell ref="N127:Q127"/>
    <mergeCell ref="F124:I124"/>
    <mergeCell ref="L124:M124"/>
    <mergeCell ref="F123:I123"/>
    <mergeCell ref="N123:Q123"/>
    <mergeCell ref="L123:M123"/>
    <mergeCell ref="F125:I125"/>
    <mergeCell ref="N125:Q125"/>
    <mergeCell ref="L125:M125"/>
    <mergeCell ref="F130:I130"/>
    <mergeCell ref="N130:Q130"/>
    <mergeCell ref="L130:M130"/>
    <mergeCell ref="N128:Q128"/>
    <mergeCell ref="N129:Q129"/>
    <mergeCell ref="F129:I129"/>
    <mergeCell ref="L129:M129"/>
  </mergeCells>
  <hyperlinks>
    <hyperlink ref="F1:G1" location="C2" tooltip="Krycí list rozpočtu" display="1) Krycí list rozpočtu" xr:uid="{00000000-0004-0000-0500-000000000000}"/>
    <hyperlink ref="H1:K1" location="'SO05'!C93" tooltip="Rekapitulace rozpočtu" display="2) Rekapitulace rozpočtu" xr:uid="{00000000-0004-0000-0500-000001000000}"/>
    <hyperlink ref="L1" location="'SO05'!C115" tooltip="Rozpočet" display="3) Rozpočet" xr:uid="{00000000-0004-0000-0500-000002000000}"/>
    <hyperlink ref="S1:T1" location="'Rekapitulace stavby'!C2" tooltip="Rekapitulace stavby" display="Rekapitulace stavby" xr:uid="{00000000-0004-0000-0500-000003000000}"/>
    <hyperlink ref="F1" location="'SO05'!C4" tooltip="Krycí list rozpočtu" display="1) Krycí list rozpočtu" xr:uid="{BEB4DA73-BF43-4D19-B4F1-B7F3D04B5F11}"/>
    <hyperlink ref="S1" location="Rekapitulace!C4" tooltip="Rekapitulace stavby" display="Rekapitulace stavby" xr:uid="{D7BE7DFA-5A5E-4522-A5D2-DBAD71256C3B}"/>
  </hyperlinks>
  <pageMargins left="0.59027779102325439" right="0.59027779102325439" top="0.59027779102325439" bottom="0.59027779102325439" header="0" footer="0"/>
  <pageSetup paperSize="9" fitToWidth="2" fitToHeight="9" orientation="landscape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fitToPage="1"/>
  </sheetPr>
  <dimension ref="B1:BL134"/>
  <sheetViews>
    <sheetView showGridLines="0" zoomScale="115" zoomScaleNormal="115" workbookViewId="0">
      <pane ySplit="1" topLeftCell="A2" activePane="bottomLeft" state="frozenSplit"/>
      <selection activeCell="F151" sqref="F151:I151"/>
      <selection pane="bottomLeft" activeCell="O9" sqref="O9:P9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11.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3" width="10.5" style="6" customWidth="1"/>
    <col min="44" max="63" width="10.5" style="6" hidden="1" customWidth="1"/>
    <col min="64" max="64" width="8" style="6" hidden="1" customWidth="1"/>
    <col min="65" max="65" width="10.5" style="6" customWidth="1"/>
    <col min="66" max="16384" width="10.5" style="6"/>
  </cols>
  <sheetData>
    <row r="1" spans="2:46" s="5" customFormat="1" ht="22.5" customHeight="1" x14ac:dyDescent="0.3">
      <c r="B1" s="2"/>
      <c r="C1" s="2"/>
      <c r="D1" s="3" t="s">
        <v>0</v>
      </c>
      <c r="E1" s="2"/>
      <c r="F1" s="4" t="s">
        <v>116</v>
      </c>
      <c r="G1" s="4"/>
      <c r="H1" s="312" t="s">
        <v>117</v>
      </c>
      <c r="I1" s="312"/>
      <c r="J1" s="312"/>
      <c r="K1" s="312"/>
      <c r="L1" s="4" t="s">
        <v>118</v>
      </c>
      <c r="M1" s="2"/>
      <c r="N1" s="2"/>
      <c r="O1" s="3" t="s">
        <v>80</v>
      </c>
      <c r="P1" s="2"/>
      <c r="Q1" s="2"/>
      <c r="R1" s="2"/>
      <c r="S1" s="4" t="s">
        <v>119</v>
      </c>
      <c r="T1" s="4"/>
    </row>
    <row r="2" spans="2:46" ht="37.5" customHeight="1" x14ac:dyDescent="0.3">
      <c r="C2" s="321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S2" s="353" t="s">
        <v>3</v>
      </c>
      <c r="T2" s="248"/>
      <c r="U2" s="248"/>
      <c r="V2" s="248"/>
      <c r="W2" s="248"/>
      <c r="X2" s="248"/>
      <c r="Y2" s="248"/>
      <c r="Z2" s="248"/>
      <c r="AA2" s="248"/>
      <c r="AB2" s="248"/>
      <c r="AC2" s="248"/>
      <c r="AT2" s="6" t="s">
        <v>72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6" t="s">
        <v>70</v>
      </c>
    </row>
    <row r="4" spans="2:46" ht="37.5" customHeight="1" x14ac:dyDescent="0.3">
      <c r="B4" s="11"/>
      <c r="C4" s="249" t="s">
        <v>81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12"/>
      <c r="T4" s="13" t="s">
        <v>8</v>
      </c>
      <c r="AT4" s="6" t="s">
        <v>2</v>
      </c>
    </row>
    <row r="5" spans="2:46" ht="7.5" customHeight="1" x14ac:dyDescent="0.3">
      <c r="B5" s="11"/>
      <c r="R5" s="12"/>
    </row>
    <row r="6" spans="2:46" ht="24.95" customHeight="1" x14ac:dyDescent="0.3">
      <c r="B6" s="11"/>
      <c r="D6" s="18" t="s">
        <v>12</v>
      </c>
      <c r="F6" s="306" t="str">
        <f>Rekapitulace!$K$6</f>
        <v>Instalace FVE s akumulací pro vlastní spotřebu elektřiny ve společnosti ČEPRO, a.s. v areálu Mstětice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R6" s="12"/>
    </row>
    <row r="7" spans="2:46" s="7" customFormat="1" ht="33.75" customHeight="1" x14ac:dyDescent="0.3">
      <c r="B7" s="21"/>
      <c r="D7" s="17" t="s">
        <v>82</v>
      </c>
      <c r="F7" s="264" t="str">
        <f>Rekapitulace!J93</f>
        <v>Vedlejší náklady, Ostatní náklady</v>
      </c>
      <c r="G7" s="254"/>
      <c r="H7" s="254"/>
      <c r="I7" s="254"/>
      <c r="J7" s="254"/>
      <c r="K7" s="254"/>
      <c r="L7" s="254"/>
      <c r="M7" s="254"/>
      <c r="N7" s="254"/>
      <c r="O7" s="254"/>
      <c r="P7" s="254"/>
      <c r="R7" s="22"/>
    </row>
    <row r="8" spans="2:46" s="7" customFormat="1" ht="15" customHeight="1" x14ac:dyDescent="0.3">
      <c r="B8" s="21"/>
      <c r="D8" s="18" t="s">
        <v>13</v>
      </c>
      <c r="F8" s="253"/>
      <c r="G8" s="253"/>
      <c r="H8" s="253"/>
      <c r="I8" s="253"/>
      <c r="J8" s="253"/>
      <c r="K8" s="253"/>
      <c r="L8" s="253"/>
      <c r="M8" s="18" t="s">
        <v>14</v>
      </c>
      <c r="O8" s="16"/>
      <c r="R8" s="22"/>
    </row>
    <row r="9" spans="2:46" s="7" customFormat="1" ht="15" customHeight="1" x14ac:dyDescent="0.3">
      <c r="B9" s="21"/>
      <c r="D9" s="18" t="s">
        <v>15</v>
      </c>
      <c r="F9" s="253" t="str">
        <f>Rekapitulace!K8</f>
        <v>Areál skladu ČEPRO, a.s.; Mstětice 3, 250 91 Zeleneč</v>
      </c>
      <c r="G9" s="253"/>
      <c r="H9" s="253"/>
      <c r="I9" s="253"/>
      <c r="J9" s="253"/>
      <c r="K9" s="253"/>
      <c r="L9" s="253"/>
      <c r="M9" s="18" t="s">
        <v>16</v>
      </c>
      <c r="O9" s="322">
        <f>Rekapitulace!$AN$8</f>
        <v>44105</v>
      </c>
      <c r="P9" s="285"/>
      <c r="R9" s="22"/>
    </row>
    <row r="10" spans="2:46" s="7" customFormat="1" ht="12" customHeight="1" x14ac:dyDescent="0.3">
      <c r="B10" s="21"/>
      <c r="R10" s="22"/>
    </row>
    <row r="11" spans="2:46" s="7" customFormat="1" ht="15" customHeight="1" x14ac:dyDescent="0.3">
      <c r="B11" s="21"/>
      <c r="D11" s="18" t="s">
        <v>17</v>
      </c>
      <c r="M11" s="18" t="s">
        <v>18</v>
      </c>
      <c r="O11" s="253">
        <f>IF(Rekapitulace!$AN$10="","",Rekapitulace!$AN$10)</f>
        <v>60193531</v>
      </c>
      <c r="P11" s="254"/>
      <c r="R11" s="22"/>
    </row>
    <row r="12" spans="2:46" s="7" customFormat="1" ht="18.75" customHeight="1" x14ac:dyDescent="0.3">
      <c r="B12" s="21"/>
      <c r="E12" s="16" t="str">
        <f>IF(Rekapitulace!$E$11="","",Rekapitulace!$E$11)</f>
        <v>ČEPRO, a.s., Dělnická 213/12, Holešovice, 170 00 Praha 7</v>
      </c>
      <c r="M12" s="18" t="s">
        <v>19</v>
      </c>
      <c r="O12" s="253" t="str">
        <f>IF(Rekapitulace!$AN$11="","",Rekapitulace!$AN$11)</f>
        <v>CZ60193531</v>
      </c>
      <c r="P12" s="254"/>
      <c r="R12" s="22"/>
    </row>
    <row r="13" spans="2:46" s="7" customFormat="1" ht="7.5" customHeight="1" x14ac:dyDescent="0.3">
      <c r="B13" s="21"/>
      <c r="R13" s="22"/>
    </row>
    <row r="14" spans="2:46" s="7" customFormat="1" ht="15" customHeight="1" x14ac:dyDescent="0.3">
      <c r="B14" s="21"/>
      <c r="D14" s="18" t="s">
        <v>20</v>
      </c>
      <c r="M14" s="18" t="s">
        <v>18</v>
      </c>
      <c r="O14" s="316" t="str">
        <f>IF(Rekapitulace!$AN$13="","",Rekapitulace!$AN$13)</f>
        <v>Vyplň údaj</v>
      </c>
      <c r="P14" s="285"/>
      <c r="R14" s="22"/>
    </row>
    <row r="15" spans="2:46" s="7" customFormat="1" ht="18.75" customHeight="1" x14ac:dyDescent="0.3">
      <c r="B15" s="21"/>
      <c r="E15" s="316" t="str">
        <f>IF(Rekapitulace!$E$14="","",Rekapitulace!$E$14)</f>
        <v>Vyplň údaj</v>
      </c>
      <c r="F15" s="285"/>
      <c r="G15" s="285"/>
      <c r="H15" s="285"/>
      <c r="I15" s="285"/>
      <c r="J15" s="285"/>
      <c r="K15" s="285"/>
      <c r="L15" s="285"/>
      <c r="M15" s="18" t="s">
        <v>19</v>
      </c>
      <c r="O15" s="316" t="str">
        <f>IF(Rekapitulace!$AN$14="","",Rekapitulace!$AN$14)</f>
        <v>Vyplň údaj</v>
      </c>
      <c r="P15" s="285"/>
      <c r="R15" s="22"/>
    </row>
    <row r="16" spans="2:46" s="7" customFormat="1" ht="7.5" customHeight="1" x14ac:dyDescent="0.3">
      <c r="B16" s="21"/>
      <c r="R16" s="22"/>
    </row>
    <row r="17" spans="2:18" s="7" customFormat="1" ht="15" customHeight="1" x14ac:dyDescent="0.3">
      <c r="B17" s="21"/>
      <c r="D17" s="18" t="s">
        <v>22</v>
      </c>
      <c r="M17" s="18" t="s">
        <v>18</v>
      </c>
      <c r="O17" s="253" t="str">
        <f>IF(Rekapitulace!$AN$16="","",Rekapitulace!$AN$16)</f>
        <v>04083351</v>
      </c>
      <c r="P17" s="254"/>
      <c r="R17" s="22"/>
    </row>
    <row r="18" spans="2:18" s="7" customFormat="1" ht="18.75" customHeight="1" x14ac:dyDescent="0.3">
      <c r="B18" s="21"/>
      <c r="E18" s="16" t="str">
        <f>IF(Rekapitulace!$E$17="","",Rekapitulace!$E$17)</f>
        <v>YOUNG4ENERGY s.r.o.</v>
      </c>
      <c r="M18" s="18" t="s">
        <v>19</v>
      </c>
      <c r="O18" s="253" t="str">
        <f>IF(Rekapitulace!$AN$17="","",Rekapitulace!$AN$17)</f>
        <v>CZ04083351</v>
      </c>
      <c r="P18" s="254"/>
      <c r="R18" s="22"/>
    </row>
    <row r="19" spans="2:18" s="7" customFormat="1" ht="7.5" customHeight="1" x14ac:dyDescent="0.3">
      <c r="B19" s="21"/>
      <c r="R19" s="22"/>
    </row>
    <row r="20" spans="2:18" s="7" customFormat="1" ht="15" customHeight="1" x14ac:dyDescent="0.3">
      <c r="B20" s="21"/>
      <c r="D20" s="18" t="s">
        <v>23</v>
      </c>
      <c r="M20" s="18" t="s">
        <v>18</v>
      </c>
      <c r="O20" s="253" t="str">
        <f>IF(Rekapitulace!$AN$19="","",Rekapitulace!$AN$19)</f>
        <v>04083351</v>
      </c>
      <c r="P20" s="254"/>
      <c r="R20" s="22"/>
    </row>
    <row r="21" spans="2:18" s="7" customFormat="1" ht="18.75" customHeight="1" x14ac:dyDescent="0.3">
      <c r="B21" s="21"/>
      <c r="E21" s="16" t="str">
        <f>IF(Rekapitulace!$E$20="","",Rekapitulace!$E$20)</f>
        <v>YOUNG4ENERGY s.r.o.</v>
      </c>
      <c r="M21" s="18" t="s">
        <v>19</v>
      </c>
      <c r="O21" s="253" t="str">
        <f>IF(Rekapitulace!$AN$20="","",Rekapitulace!$AN$20)</f>
        <v>CZ04083351</v>
      </c>
      <c r="P21" s="254"/>
      <c r="R21" s="22"/>
    </row>
    <row r="22" spans="2:18" s="7" customFormat="1" ht="7.5" customHeight="1" x14ac:dyDescent="0.3">
      <c r="B22" s="21"/>
      <c r="R22" s="22"/>
    </row>
    <row r="23" spans="2:18" s="7" customFormat="1" ht="7.5" customHeight="1" x14ac:dyDescent="0.3">
      <c r="B23" s="2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R23" s="22"/>
    </row>
    <row r="24" spans="2:18" s="7" customFormat="1" ht="15" customHeight="1" x14ac:dyDescent="0.3">
      <c r="B24" s="21"/>
      <c r="D24" s="76" t="s">
        <v>84</v>
      </c>
      <c r="M24" s="252">
        <f>$N$87</f>
        <v>0</v>
      </c>
      <c r="N24" s="254"/>
      <c r="O24" s="254"/>
      <c r="P24" s="254"/>
      <c r="R24" s="22"/>
    </row>
    <row r="25" spans="2:18" s="7" customFormat="1" ht="7.5" customHeight="1" x14ac:dyDescent="0.3">
      <c r="B25" s="21"/>
      <c r="R25" s="22"/>
    </row>
    <row r="26" spans="2:18" s="7" customFormat="1" ht="26.25" customHeight="1" x14ac:dyDescent="0.3">
      <c r="B26" s="21"/>
      <c r="D26" s="96" t="s">
        <v>26</v>
      </c>
      <c r="M26" s="320">
        <f>ROUND($M$24,2)</f>
        <v>0</v>
      </c>
      <c r="N26" s="254"/>
      <c r="O26" s="254"/>
      <c r="P26" s="254"/>
      <c r="R26" s="22"/>
    </row>
    <row r="27" spans="2:18" s="7" customFormat="1" ht="7.5" customHeight="1" x14ac:dyDescent="0.3">
      <c r="B27" s="2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R27" s="22"/>
    </row>
    <row r="28" spans="2:18" s="7" customFormat="1" ht="15" customHeight="1" x14ac:dyDescent="0.3">
      <c r="B28" s="21"/>
      <c r="D28" s="26" t="s">
        <v>27</v>
      </c>
      <c r="E28" s="26" t="s">
        <v>28</v>
      </c>
      <c r="F28" s="27">
        <v>0.21</v>
      </c>
      <c r="G28" s="97" t="s">
        <v>29</v>
      </c>
      <c r="H28" s="305">
        <f>M26</f>
        <v>0</v>
      </c>
      <c r="I28" s="254"/>
      <c r="J28" s="254"/>
      <c r="M28" s="305">
        <f>H28*F28</f>
        <v>0</v>
      </c>
      <c r="N28" s="254"/>
      <c r="O28" s="254"/>
      <c r="P28" s="254"/>
      <c r="R28" s="22"/>
    </row>
    <row r="29" spans="2:18" s="7" customFormat="1" ht="15" customHeight="1" x14ac:dyDescent="0.3">
      <c r="B29" s="21"/>
      <c r="E29" s="26" t="s">
        <v>30</v>
      </c>
      <c r="F29" s="27">
        <v>0.15</v>
      </c>
      <c r="G29" s="97" t="s">
        <v>29</v>
      </c>
      <c r="H29" s="305">
        <v>0</v>
      </c>
      <c r="I29" s="254"/>
      <c r="J29" s="254"/>
      <c r="M29" s="305">
        <v>0</v>
      </c>
      <c r="N29" s="254"/>
      <c r="O29" s="254"/>
      <c r="P29" s="254"/>
      <c r="R29" s="22"/>
    </row>
    <row r="30" spans="2:18" s="7" customFormat="1" ht="15" hidden="1" customHeight="1" x14ac:dyDescent="0.3">
      <c r="B30" s="21"/>
      <c r="E30" s="26" t="s">
        <v>31</v>
      </c>
      <c r="F30" s="27">
        <v>0.21</v>
      </c>
      <c r="G30" s="97" t="s">
        <v>29</v>
      </c>
      <c r="H30" s="305">
        <f>(SUM($BG$90:$BG$90)+SUM($BG$108:$BG$126))</f>
        <v>0</v>
      </c>
      <c r="I30" s="254"/>
      <c r="J30" s="254"/>
      <c r="M30" s="305">
        <v>0</v>
      </c>
      <c r="N30" s="254"/>
      <c r="O30" s="254"/>
      <c r="P30" s="254"/>
      <c r="R30" s="22"/>
    </row>
    <row r="31" spans="2:18" s="7" customFormat="1" ht="15" hidden="1" customHeight="1" x14ac:dyDescent="0.3">
      <c r="B31" s="21"/>
      <c r="E31" s="26" t="s">
        <v>32</v>
      </c>
      <c r="F31" s="27">
        <v>0.15</v>
      </c>
      <c r="G31" s="97" t="s">
        <v>29</v>
      </c>
      <c r="H31" s="305">
        <f>(SUM($BH$90:$BH$90)+SUM($BH$108:$BH$126))</f>
        <v>0</v>
      </c>
      <c r="I31" s="254"/>
      <c r="J31" s="254"/>
      <c r="M31" s="305">
        <v>0</v>
      </c>
      <c r="N31" s="254"/>
      <c r="O31" s="254"/>
      <c r="P31" s="254"/>
      <c r="R31" s="22"/>
    </row>
    <row r="32" spans="2:18" s="7" customFormat="1" ht="15" hidden="1" customHeight="1" x14ac:dyDescent="0.3">
      <c r="B32" s="21"/>
      <c r="E32" s="26" t="s">
        <v>33</v>
      </c>
      <c r="F32" s="27">
        <v>0</v>
      </c>
      <c r="G32" s="97" t="s">
        <v>29</v>
      </c>
      <c r="H32" s="305">
        <f>(SUM($BI$90:$BI$90)+SUM($BI$108:$BI$126))</f>
        <v>0</v>
      </c>
      <c r="I32" s="254"/>
      <c r="J32" s="254"/>
      <c r="M32" s="305">
        <v>0</v>
      </c>
      <c r="N32" s="254"/>
      <c r="O32" s="254"/>
      <c r="P32" s="254"/>
      <c r="R32" s="22"/>
    </row>
    <row r="33" spans="2:18" s="7" customFormat="1" ht="7.5" customHeight="1" x14ac:dyDescent="0.3">
      <c r="B33" s="21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R33" s="22"/>
    </row>
    <row r="34" spans="2:18" s="7" customFormat="1" ht="26.25" customHeight="1" x14ac:dyDescent="0.3">
      <c r="B34" s="21"/>
      <c r="C34" s="30"/>
      <c r="D34" s="227" t="s">
        <v>34</v>
      </c>
      <c r="E34" s="224"/>
      <c r="F34" s="224"/>
      <c r="G34" s="225" t="s">
        <v>35</v>
      </c>
      <c r="H34" s="226" t="s">
        <v>36</v>
      </c>
      <c r="I34" s="224"/>
      <c r="J34" s="224"/>
      <c r="K34" s="224"/>
      <c r="L34" s="307">
        <f>ROUND(SUM($M$26:$M$32),2)</f>
        <v>0</v>
      </c>
      <c r="M34" s="308"/>
      <c r="N34" s="308"/>
      <c r="O34" s="308"/>
      <c r="P34" s="308"/>
      <c r="Q34" s="224"/>
      <c r="R34" s="22"/>
    </row>
    <row r="35" spans="2:18" s="7" customFormat="1" ht="15" customHeight="1" x14ac:dyDescent="0.3">
      <c r="B35" s="21"/>
      <c r="R35" s="22"/>
    </row>
    <row r="36" spans="2:18" s="7" customFormat="1" ht="15" customHeight="1" x14ac:dyDescent="0.3">
      <c r="B36" s="21"/>
      <c r="R36" s="22"/>
    </row>
    <row r="37" spans="2:18" ht="14.25" customHeight="1" x14ac:dyDescent="0.3">
      <c r="B37" s="11"/>
      <c r="R37" s="1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4" t="s">
        <v>37</v>
      </c>
      <c r="E49" s="35"/>
      <c r="F49" s="35"/>
      <c r="G49" s="35"/>
      <c r="H49" s="36"/>
      <c r="J49" s="34" t="s">
        <v>38</v>
      </c>
      <c r="K49" s="35"/>
      <c r="L49" s="35"/>
      <c r="M49" s="35"/>
      <c r="N49" s="35"/>
      <c r="O49" s="35"/>
      <c r="P49" s="36"/>
      <c r="R49" s="22"/>
    </row>
    <row r="50" spans="2:18" ht="14.25" customHeight="1" x14ac:dyDescent="0.3">
      <c r="B50" s="11"/>
      <c r="D50" s="37"/>
      <c r="H50" s="38"/>
      <c r="J50" s="37"/>
      <c r="P50" s="38"/>
      <c r="R50" s="12"/>
    </row>
    <row r="51" spans="2:18" ht="14.25" customHeight="1" x14ac:dyDescent="0.3">
      <c r="B51" s="11"/>
      <c r="D51" s="37"/>
      <c r="H51" s="38"/>
      <c r="J51" s="37"/>
      <c r="P51" s="38"/>
      <c r="R51" s="12"/>
    </row>
    <row r="52" spans="2:18" ht="14.25" customHeight="1" x14ac:dyDescent="0.3">
      <c r="B52" s="11"/>
      <c r="D52" s="37"/>
      <c r="H52" s="38"/>
      <c r="J52" s="37"/>
      <c r="P52" s="38"/>
      <c r="R52" s="12"/>
    </row>
    <row r="53" spans="2:18" ht="14.25" customHeight="1" x14ac:dyDescent="0.3">
      <c r="B53" s="11"/>
      <c r="D53" s="37"/>
      <c r="H53" s="38"/>
      <c r="J53" s="37"/>
      <c r="P53" s="38"/>
      <c r="R53" s="12"/>
    </row>
    <row r="54" spans="2:18" ht="14.25" customHeight="1" x14ac:dyDescent="0.3">
      <c r="B54" s="11"/>
      <c r="D54" s="37"/>
      <c r="H54" s="38"/>
      <c r="J54" s="37"/>
      <c r="P54" s="38"/>
      <c r="R54" s="12"/>
    </row>
    <row r="55" spans="2:18" ht="14.25" customHeight="1" x14ac:dyDescent="0.3">
      <c r="B55" s="11"/>
      <c r="D55" s="37"/>
      <c r="H55" s="38"/>
      <c r="J55" s="37"/>
      <c r="P55" s="38"/>
      <c r="R55" s="12"/>
    </row>
    <row r="56" spans="2:18" ht="14.25" customHeight="1" x14ac:dyDescent="0.3">
      <c r="B56" s="11"/>
      <c r="D56" s="37"/>
      <c r="H56" s="38"/>
      <c r="J56" s="37"/>
      <c r="P56" s="38"/>
      <c r="R56" s="12"/>
    </row>
    <row r="57" spans="2:18" ht="14.25" customHeight="1" x14ac:dyDescent="0.3">
      <c r="B57" s="11"/>
      <c r="D57" s="37"/>
      <c r="H57" s="38"/>
      <c r="J57" s="37"/>
      <c r="P57" s="38"/>
      <c r="R57" s="12"/>
    </row>
    <row r="58" spans="2:18" s="7" customFormat="1" ht="15.75" customHeight="1" x14ac:dyDescent="0.3">
      <c r="B58" s="21"/>
      <c r="D58" s="39" t="s">
        <v>39</v>
      </c>
      <c r="E58" s="40"/>
      <c r="F58" s="40"/>
      <c r="G58" s="41" t="s">
        <v>40</v>
      </c>
      <c r="H58" s="42"/>
      <c r="J58" s="39" t="s">
        <v>39</v>
      </c>
      <c r="K58" s="40"/>
      <c r="L58" s="40"/>
      <c r="M58" s="40"/>
      <c r="N58" s="41" t="s">
        <v>40</v>
      </c>
      <c r="O58" s="40"/>
      <c r="P58" s="42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4" t="s">
        <v>41</v>
      </c>
      <c r="E60" s="35"/>
      <c r="F60" s="35"/>
      <c r="G60" s="35"/>
      <c r="H60" s="36"/>
      <c r="J60" s="34" t="s">
        <v>42</v>
      </c>
      <c r="K60" s="35"/>
      <c r="L60" s="35"/>
      <c r="M60" s="35"/>
      <c r="N60" s="35"/>
      <c r="O60" s="35"/>
      <c r="P60" s="36"/>
      <c r="R60" s="22"/>
    </row>
    <row r="61" spans="2:18" ht="14.25" customHeight="1" x14ac:dyDescent="0.3">
      <c r="B61" s="11"/>
      <c r="D61" s="37"/>
      <c r="H61" s="38"/>
      <c r="J61" s="37"/>
      <c r="P61" s="38"/>
      <c r="R61" s="12"/>
    </row>
    <row r="62" spans="2:18" ht="14.25" customHeight="1" x14ac:dyDescent="0.3">
      <c r="B62" s="11"/>
      <c r="D62" s="37"/>
      <c r="H62" s="38"/>
      <c r="J62" s="37"/>
      <c r="P62" s="38"/>
      <c r="R62" s="12"/>
    </row>
    <row r="63" spans="2:18" ht="14.25" customHeight="1" x14ac:dyDescent="0.3">
      <c r="B63" s="11"/>
      <c r="D63" s="37"/>
      <c r="H63" s="38"/>
      <c r="J63" s="37"/>
      <c r="P63" s="38"/>
      <c r="R63" s="12"/>
    </row>
    <row r="64" spans="2:18" ht="14.25" customHeight="1" x14ac:dyDescent="0.3">
      <c r="B64" s="11"/>
      <c r="D64" s="37"/>
      <c r="H64" s="38"/>
      <c r="J64" s="37"/>
      <c r="P64" s="38"/>
      <c r="R64" s="12"/>
    </row>
    <row r="65" spans="2:18" ht="14.25" customHeight="1" x14ac:dyDescent="0.3">
      <c r="B65" s="11"/>
      <c r="D65" s="37"/>
      <c r="H65" s="38"/>
      <c r="J65" s="37"/>
      <c r="P65" s="38"/>
      <c r="R65" s="12"/>
    </row>
    <row r="66" spans="2:18" ht="14.25" customHeight="1" x14ac:dyDescent="0.3">
      <c r="B66" s="11"/>
      <c r="D66" s="37"/>
      <c r="H66" s="38"/>
      <c r="J66" s="37"/>
      <c r="P66" s="38"/>
      <c r="R66" s="12"/>
    </row>
    <row r="67" spans="2:18" ht="14.25" customHeight="1" x14ac:dyDescent="0.3">
      <c r="B67" s="11"/>
      <c r="D67" s="37"/>
      <c r="H67" s="38"/>
      <c r="J67" s="37"/>
      <c r="P67" s="38"/>
      <c r="R67" s="12"/>
    </row>
    <row r="68" spans="2:18" ht="14.25" customHeight="1" x14ac:dyDescent="0.3">
      <c r="B68" s="11"/>
      <c r="D68" s="37"/>
      <c r="H68" s="38"/>
      <c r="J68" s="37"/>
      <c r="P68" s="38"/>
      <c r="R68" s="12"/>
    </row>
    <row r="69" spans="2:18" s="7" customFormat="1" ht="15.75" customHeight="1" x14ac:dyDescent="0.3">
      <c r="B69" s="21"/>
      <c r="D69" s="39" t="s">
        <v>39</v>
      </c>
      <c r="E69" s="40"/>
      <c r="F69" s="40"/>
      <c r="G69" s="41" t="s">
        <v>40</v>
      </c>
      <c r="H69" s="42"/>
      <c r="J69" s="39" t="s">
        <v>39</v>
      </c>
      <c r="K69" s="40"/>
      <c r="L69" s="40"/>
      <c r="M69" s="40"/>
      <c r="N69" s="41" t="s">
        <v>40</v>
      </c>
      <c r="O69" s="40"/>
      <c r="P69" s="42"/>
      <c r="R69" s="22"/>
    </row>
    <row r="70" spans="2:18" s="7" customFormat="1" ht="15" customHeight="1" x14ac:dyDescent="0.3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4" spans="2:18" s="7" customFormat="1" ht="7.5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8"/>
    </row>
    <row r="75" spans="2:18" s="7" customFormat="1" ht="37.5" customHeight="1" x14ac:dyDescent="0.3">
      <c r="B75" s="21"/>
      <c r="C75" s="249" t="s">
        <v>85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306" t="str">
        <f>$F$6</f>
        <v>Instalace FVE s akumulací pro vlastní spotřebu elektřiny ve společnosti ČEPRO, a.s. v areálu Mstětice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R77" s="22"/>
    </row>
    <row r="78" spans="2:18" s="7" customFormat="1" ht="37.5" customHeight="1" x14ac:dyDescent="0.3">
      <c r="B78" s="21"/>
      <c r="C78" s="51" t="s">
        <v>82</v>
      </c>
      <c r="F78" s="269" t="str">
        <f>$F$7</f>
        <v>Vedlejší náklady, Ostatní náklady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R78" s="22"/>
    </row>
    <row r="79" spans="2:18" s="7" customFormat="1" ht="7.5" customHeight="1" x14ac:dyDescent="0.3">
      <c r="B79" s="21"/>
      <c r="R79" s="22"/>
    </row>
    <row r="80" spans="2:18" s="7" customFormat="1" ht="30" customHeight="1" x14ac:dyDescent="0.3">
      <c r="B80" s="21"/>
      <c r="C80" s="18" t="s">
        <v>15</v>
      </c>
      <c r="F80" s="354" t="str">
        <f>$F$9</f>
        <v>Areál skladu ČEPRO, a.s.; Mstětice 3, 250 91 Zeleneč</v>
      </c>
      <c r="G80" s="354"/>
      <c r="H80" s="354"/>
      <c r="I80" s="354"/>
      <c r="L80" s="18" t="s">
        <v>16</v>
      </c>
      <c r="M80" s="270">
        <f>IF($O$9="","",$O$9)</f>
        <v>44105</v>
      </c>
      <c r="N80" s="254"/>
      <c r="O80" s="254"/>
      <c r="P80" s="254"/>
      <c r="R80" s="22"/>
    </row>
    <row r="81" spans="2:47" s="7" customFormat="1" ht="7.5" customHeight="1" x14ac:dyDescent="0.3">
      <c r="B81" s="21"/>
      <c r="R81" s="22"/>
    </row>
    <row r="82" spans="2:47" s="7" customFormat="1" ht="15.75" customHeight="1" x14ac:dyDescent="0.3">
      <c r="B82" s="21"/>
      <c r="C82" s="18" t="s">
        <v>17</v>
      </c>
      <c r="F82" s="16" t="str">
        <f>$E$12</f>
        <v>ČEPRO, a.s., Dělnická 213/12, Holešovice, 170 00 Praha 7</v>
      </c>
      <c r="L82" s="18" t="s">
        <v>22</v>
      </c>
      <c r="M82" s="253" t="str">
        <f>$E$18</f>
        <v>YOUNG4ENERGY s.r.o.</v>
      </c>
      <c r="N82" s="254"/>
      <c r="O82" s="254"/>
      <c r="P82" s="254"/>
      <c r="Q82" s="254"/>
      <c r="R82" s="22"/>
    </row>
    <row r="83" spans="2:47" s="7" customFormat="1" ht="15" customHeight="1" x14ac:dyDescent="0.3">
      <c r="B83" s="21"/>
      <c r="C83" s="18" t="s">
        <v>20</v>
      </c>
      <c r="F83" s="16" t="str">
        <f>IF($E$15="","",$E$15)</f>
        <v>Vyplň údaj</v>
      </c>
      <c r="L83" s="18" t="s">
        <v>23</v>
      </c>
      <c r="M83" s="253" t="str">
        <f>$E$21</f>
        <v>YOUNG4ENERGY s.r.o.</v>
      </c>
      <c r="N83" s="254"/>
      <c r="O83" s="254"/>
      <c r="P83" s="254"/>
      <c r="Q83" s="254"/>
      <c r="R83" s="22"/>
    </row>
    <row r="84" spans="2:47" s="7" customFormat="1" ht="11.25" customHeight="1" x14ac:dyDescent="0.3">
      <c r="B84" s="21"/>
      <c r="R84" s="22"/>
    </row>
    <row r="85" spans="2:47" s="7" customFormat="1" ht="30" customHeight="1" x14ac:dyDescent="0.3">
      <c r="B85" s="21"/>
      <c r="C85" s="315" t="s">
        <v>86</v>
      </c>
      <c r="D85" s="287"/>
      <c r="E85" s="287"/>
      <c r="F85" s="287"/>
      <c r="G85" s="287"/>
      <c r="H85" s="30"/>
      <c r="I85" s="30"/>
      <c r="J85" s="30"/>
      <c r="K85" s="30"/>
      <c r="L85" s="30"/>
      <c r="M85" s="30"/>
      <c r="N85" s="315" t="s">
        <v>87</v>
      </c>
      <c r="O85" s="254"/>
      <c r="P85" s="254"/>
      <c r="Q85" s="254"/>
      <c r="R85" s="22"/>
    </row>
    <row r="86" spans="2:47" s="7" customFormat="1" ht="11.25" customHeight="1" x14ac:dyDescent="0.3">
      <c r="B86" s="21"/>
      <c r="R86" s="22"/>
    </row>
    <row r="87" spans="2:47" s="7" customFormat="1" ht="30" customHeight="1" x14ac:dyDescent="0.3">
      <c r="B87" s="21"/>
      <c r="C87" s="59" t="s">
        <v>88</v>
      </c>
      <c r="N87" s="276">
        <f>ROUND($N$88+N89,2)</f>
        <v>0</v>
      </c>
      <c r="O87" s="254"/>
      <c r="P87" s="254"/>
      <c r="Q87" s="254"/>
      <c r="R87" s="22"/>
      <c r="AU87" s="7" t="s">
        <v>89</v>
      </c>
    </row>
    <row r="88" spans="2:47" s="64" customFormat="1" ht="25.5" customHeight="1" x14ac:dyDescent="0.35">
      <c r="B88" s="99"/>
      <c r="D88" s="113" t="s">
        <v>161</v>
      </c>
      <c r="N88" s="310">
        <f>ROUND($N$109,2)</f>
        <v>0</v>
      </c>
      <c r="O88" s="311"/>
      <c r="P88" s="311"/>
      <c r="Q88" s="311"/>
      <c r="R88" s="100"/>
    </row>
    <row r="89" spans="2:47" s="76" customFormat="1" ht="21" customHeight="1" x14ac:dyDescent="0.35">
      <c r="B89" s="101"/>
      <c r="C89" s="64"/>
      <c r="D89" s="113" t="s">
        <v>179</v>
      </c>
      <c r="E89" s="64"/>
      <c r="F89" s="64"/>
      <c r="G89" s="64"/>
      <c r="H89" s="64"/>
      <c r="I89" s="64"/>
      <c r="J89" s="64"/>
      <c r="K89" s="64"/>
      <c r="L89" s="64"/>
      <c r="M89" s="64"/>
      <c r="N89" s="310">
        <f>ROUND($N$129,2)</f>
        <v>0</v>
      </c>
      <c r="O89" s="311"/>
      <c r="P89" s="311"/>
      <c r="Q89" s="311"/>
      <c r="R89" s="102"/>
    </row>
    <row r="90" spans="2:47" s="7" customFormat="1" ht="14.25" customHeight="1" x14ac:dyDescent="0.3">
      <c r="B90" s="21"/>
      <c r="R90" s="22"/>
    </row>
    <row r="91" spans="2:47" s="7" customFormat="1" ht="30" customHeight="1" x14ac:dyDescent="0.3">
      <c r="B91" s="21"/>
      <c r="C91" s="94" t="s">
        <v>141</v>
      </c>
      <c r="D91" s="30"/>
      <c r="E91" s="30"/>
      <c r="F91" s="30"/>
      <c r="G91" s="30"/>
      <c r="H91" s="30"/>
      <c r="I91" s="30"/>
      <c r="J91" s="30"/>
      <c r="K91" s="30"/>
      <c r="L91" s="286">
        <f>ROUND(SUM($N$87),2)</f>
        <v>0</v>
      </c>
      <c r="M91" s="287"/>
      <c r="N91" s="287"/>
      <c r="O91" s="287"/>
      <c r="P91" s="287"/>
      <c r="Q91" s="287"/>
      <c r="R91" s="22"/>
    </row>
    <row r="92" spans="2:47" s="7" customFormat="1" ht="7.5" customHeight="1" x14ac:dyDescent="0.3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5"/>
    </row>
    <row r="96" spans="2:47" s="7" customFormat="1" ht="7.5" customHeight="1" x14ac:dyDescent="0.3"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8"/>
    </row>
    <row r="97" spans="2:64" s="7" customFormat="1" ht="37.5" customHeight="1" x14ac:dyDescent="0.3">
      <c r="B97" s="21"/>
      <c r="C97" s="249" t="s">
        <v>90</v>
      </c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2"/>
    </row>
    <row r="98" spans="2:64" s="7" customFormat="1" ht="7.5" customHeight="1" x14ac:dyDescent="0.3">
      <c r="B98" s="21"/>
      <c r="R98" s="22"/>
    </row>
    <row r="99" spans="2:64" s="7" customFormat="1" ht="24.95" customHeight="1" x14ac:dyDescent="0.3">
      <c r="B99" s="21"/>
      <c r="C99" s="18" t="s">
        <v>12</v>
      </c>
      <c r="F99" s="306" t="str">
        <f>$F$6</f>
        <v>Instalace FVE s akumulací pro vlastní spotřebu elektřiny ve společnosti ČEPRO, a.s. v areálu Mstětice</v>
      </c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R99" s="22"/>
    </row>
    <row r="100" spans="2:64" s="7" customFormat="1" ht="37.5" customHeight="1" x14ac:dyDescent="0.3">
      <c r="B100" s="21"/>
      <c r="C100" s="51" t="s">
        <v>82</v>
      </c>
      <c r="F100" s="269" t="str">
        <f>$F$7</f>
        <v>Vedlejší náklady, Ostatní náklady</v>
      </c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R100" s="22"/>
    </row>
    <row r="101" spans="2:64" s="7" customFormat="1" ht="7.5" customHeight="1" x14ac:dyDescent="0.3">
      <c r="B101" s="21"/>
      <c r="R101" s="22"/>
    </row>
    <row r="102" spans="2:64" s="7" customFormat="1" ht="30" customHeight="1" x14ac:dyDescent="0.3">
      <c r="B102" s="21"/>
      <c r="C102" s="18" t="s">
        <v>15</v>
      </c>
      <c r="F102" s="354" t="str">
        <f>$F$9</f>
        <v>Areál skladu ČEPRO, a.s.; Mstětice 3, 250 91 Zeleneč</v>
      </c>
      <c r="G102" s="354"/>
      <c r="H102" s="354"/>
      <c r="I102" s="354"/>
      <c r="L102" s="18" t="s">
        <v>16</v>
      </c>
      <c r="M102" s="270">
        <f>IF($O$9="","",$O$9)</f>
        <v>44105</v>
      </c>
      <c r="N102" s="254"/>
      <c r="O102" s="254"/>
      <c r="P102" s="254"/>
      <c r="R102" s="22"/>
    </row>
    <row r="103" spans="2:64" s="7" customFormat="1" ht="7.5" customHeight="1" x14ac:dyDescent="0.3">
      <c r="B103" s="21"/>
      <c r="R103" s="22"/>
    </row>
    <row r="104" spans="2:64" s="7" customFormat="1" ht="15.75" customHeight="1" x14ac:dyDescent="0.3">
      <c r="B104" s="21"/>
      <c r="C104" s="18" t="s">
        <v>17</v>
      </c>
      <c r="F104" s="16" t="str">
        <f>$E$12</f>
        <v>ČEPRO, a.s., Dělnická 213/12, Holešovice, 170 00 Praha 7</v>
      </c>
      <c r="L104" s="18" t="s">
        <v>22</v>
      </c>
      <c r="M104" s="253" t="str">
        <f>$E$18</f>
        <v>YOUNG4ENERGY s.r.o.</v>
      </c>
      <c r="N104" s="254"/>
      <c r="O104" s="254"/>
      <c r="P104" s="254"/>
      <c r="Q104" s="254"/>
      <c r="R104" s="22"/>
    </row>
    <row r="105" spans="2:64" s="7" customFormat="1" ht="15" customHeight="1" x14ac:dyDescent="0.3">
      <c r="B105" s="21"/>
      <c r="C105" s="18" t="s">
        <v>20</v>
      </c>
      <c r="F105" s="16" t="str">
        <f>IF($E$15="","",$E$15)</f>
        <v>Vyplň údaj</v>
      </c>
      <c r="L105" s="18" t="s">
        <v>23</v>
      </c>
      <c r="M105" s="253" t="str">
        <f>$E$21</f>
        <v>YOUNG4ENERGY s.r.o.</v>
      </c>
      <c r="N105" s="254"/>
      <c r="O105" s="254"/>
      <c r="P105" s="254"/>
      <c r="Q105" s="254"/>
      <c r="R105" s="22"/>
    </row>
    <row r="106" spans="2:64" s="7" customFormat="1" ht="11.25" customHeight="1" x14ac:dyDescent="0.3">
      <c r="B106" s="21"/>
      <c r="R106" s="22"/>
    </row>
    <row r="107" spans="2:64" s="107" customFormat="1" ht="30" customHeight="1" x14ac:dyDescent="0.3">
      <c r="B107" s="103"/>
      <c r="C107" s="104" t="s">
        <v>91</v>
      </c>
      <c r="D107" s="105" t="s">
        <v>92</v>
      </c>
      <c r="E107" s="105" t="s">
        <v>45</v>
      </c>
      <c r="F107" s="317" t="s">
        <v>93</v>
      </c>
      <c r="G107" s="318"/>
      <c r="H107" s="318"/>
      <c r="I107" s="318"/>
      <c r="J107" s="105" t="s">
        <v>94</v>
      </c>
      <c r="K107" s="105" t="s">
        <v>95</v>
      </c>
      <c r="L107" s="317" t="s">
        <v>96</v>
      </c>
      <c r="M107" s="318"/>
      <c r="N107" s="317" t="s">
        <v>97</v>
      </c>
      <c r="O107" s="318"/>
      <c r="P107" s="318"/>
      <c r="Q107" s="319"/>
      <c r="R107" s="106"/>
      <c r="T107" s="55" t="s">
        <v>98</v>
      </c>
      <c r="U107" s="56" t="s">
        <v>27</v>
      </c>
      <c r="V107" s="56" t="s">
        <v>99</v>
      </c>
      <c r="W107" s="56" t="s">
        <v>100</v>
      </c>
      <c r="X107" s="56" t="s">
        <v>101</v>
      </c>
      <c r="Y107" s="56" t="s">
        <v>102</v>
      </c>
      <c r="Z107" s="56" t="s">
        <v>103</v>
      </c>
      <c r="AA107" s="57" t="s">
        <v>104</v>
      </c>
    </row>
    <row r="108" spans="2:64" s="7" customFormat="1" ht="30" customHeight="1" x14ac:dyDescent="0.3">
      <c r="B108" s="21"/>
      <c r="C108" s="59" t="s">
        <v>84</v>
      </c>
      <c r="N108" s="276">
        <f>N109+N129</f>
        <v>0</v>
      </c>
      <c r="O108" s="254"/>
      <c r="P108" s="254"/>
      <c r="Q108" s="254"/>
      <c r="R108" s="22"/>
      <c r="T108" s="58"/>
      <c r="U108" s="35"/>
      <c r="V108" s="35"/>
      <c r="W108" s="108" t="e">
        <f>$W$109+#REF!</f>
        <v>#REF!</v>
      </c>
      <c r="X108" s="35"/>
      <c r="Y108" s="108" t="e">
        <f>$Y$109+#REF!</f>
        <v>#REF!</v>
      </c>
      <c r="Z108" s="35"/>
      <c r="AA108" s="109" t="e">
        <f>$AA$109+#REF!</f>
        <v>#REF!</v>
      </c>
      <c r="AT108" s="7" t="s">
        <v>62</v>
      </c>
      <c r="AU108" s="7" t="s">
        <v>89</v>
      </c>
      <c r="BK108" s="110" t="e">
        <f>$BK$109+#REF!</f>
        <v>#REF!</v>
      </c>
    </row>
    <row r="109" spans="2:64" s="112" customFormat="1" ht="24.95" customHeight="1" x14ac:dyDescent="0.35">
      <c r="B109" s="111"/>
      <c r="D109" s="113" t="s">
        <v>161</v>
      </c>
      <c r="E109" s="113"/>
      <c r="F109" s="113"/>
      <c r="G109" s="113"/>
      <c r="H109" s="113"/>
      <c r="I109" s="113"/>
      <c r="J109" s="113"/>
      <c r="K109" s="113"/>
      <c r="L109" s="113"/>
      <c r="M109" s="113"/>
      <c r="N109" s="314">
        <f>N110</f>
        <v>0</v>
      </c>
      <c r="O109" s="298"/>
      <c r="P109" s="298"/>
      <c r="Q109" s="298"/>
      <c r="R109" s="115"/>
      <c r="T109" s="116"/>
      <c r="W109" s="117">
        <f>$W$110</f>
        <v>0</v>
      </c>
      <c r="Y109" s="117">
        <f>$Y$110</f>
        <v>0</v>
      </c>
      <c r="AA109" s="118">
        <f>$AA$110</f>
        <v>0</v>
      </c>
      <c r="AR109" s="114" t="s">
        <v>110</v>
      </c>
      <c r="AT109" s="114" t="s">
        <v>62</v>
      </c>
      <c r="AU109" s="114" t="s">
        <v>63</v>
      </c>
      <c r="AY109" s="114" t="s">
        <v>105</v>
      </c>
      <c r="BK109" s="119">
        <f>$BK$110</f>
        <v>0</v>
      </c>
    </row>
    <row r="110" spans="2:64" s="112" customFormat="1" ht="20.100000000000001" customHeight="1" x14ac:dyDescent="0.3">
      <c r="B110" s="111"/>
      <c r="D110" s="120" t="s">
        <v>180</v>
      </c>
      <c r="E110" s="120"/>
      <c r="F110" s="120"/>
      <c r="G110" s="120"/>
      <c r="H110" s="120"/>
      <c r="I110" s="120"/>
      <c r="J110" s="120"/>
      <c r="K110" s="120"/>
      <c r="L110" s="120"/>
      <c r="M110" s="120"/>
      <c r="N110" s="297">
        <f>SUM(N111:Q128)</f>
        <v>0</v>
      </c>
      <c r="O110" s="298"/>
      <c r="P110" s="298"/>
      <c r="Q110" s="298"/>
      <c r="R110" s="115"/>
      <c r="T110" s="116"/>
      <c r="W110" s="117">
        <f>SUM($W$111:$W$126)</f>
        <v>0</v>
      </c>
      <c r="Y110" s="117">
        <f>SUM($Y$111:$Y$126)</f>
        <v>0</v>
      </c>
      <c r="AA110" s="118">
        <f>SUM($AA$111:$AA$126)</f>
        <v>0</v>
      </c>
      <c r="AR110" s="114" t="s">
        <v>110</v>
      </c>
      <c r="AT110" s="114" t="s">
        <v>62</v>
      </c>
      <c r="AU110" s="114" t="s">
        <v>68</v>
      </c>
      <c r="AY110" s="114" t="s">
        <v>105</v>
      </c>
      <c r="BK110" s="119">
        <f>SUM($BK$111:$BK$126)</f>
        <v>0</v>
      </c>
    </row>
    <row r="111" spans="2:64" s="7" customFormat="1" ht="20.100000000000001" customHeight="1" x14ac:dyDescent="0.3">
      <c r="B111" s="21"/>
      <c r="C111" s="121">
        <v>1</v>
      </c>
      <c r="D111" s="121"/>
      <c r="E111" s="128"/>
      <c r="F111" s="326" t="s">
        <v>186</v>
      </c>
      <c r="G111" s="289"/>
      <c r="H111" s="289"/>
      <c r="I111" s="289"/>
      <c r="J111" s="122" t="s">
        <v>109</v>
      </c>
      <c r="K111" s="123">
        <v>1</v>
      </c>
      <c r="L111" s="290">
        <v>0</v>
      </c>
      <c r="M111" s="291"/>
      <c r="N111" s="302">
        <f>ROUND(L111*K111,2)</f>
        <v>0</v>
      </c>
      <c r="O111" s="303"/>
      <c r="P111" s="303"/>
      <c r="Q111" s="304"/>
      <c r="R111" s="22"/>
      <c r="T111" s="124"/>
      <c r="U111" s="28" t="s">
        <v>28</v>
      </c>
      <c r="V111" s="125">
        <v>0</v>
      </c>
      <c r="W111" s="125">
        <f>$V$111*$K$111</f>
        <v>0</v>
      </c>
      <c r="X111" s="125">
        <v>0</v>
      </c>
      <c r="Y111" s="125">
        <f>$X$111*$K$111</f>
        <v>0</v>
      </c>
      <c r="Z111" s="125">
        <v>0</v>
      </c>
      <c r="AA111" s="126">
        <f>$Z$111*$K$111</f>
        <v>0</v>
      </c>
      <c r="AR111" s="7" t="s">
        <v>111</v>
      </c>
      <c r="AT111" s="7" t="s">
        <v>106</v>
      </c>
      <c r="AU111" s="7" t="s">
        <v>70</v>
      </c>
      <c r="AY111" s="7" t="s">
        <v>105</v>
      </c>
      <c r="BE111" s="88">
        <f>IF($U$111="základní",$N$111,0)</f>
        <v>0</v>
      </c>
      <c r="BF111" s="88">
        <f>IF($U$111="snížená",$N$111,0)</f>
        <v>0</v>
      </c>
      <c r="BG111" s="88">
        <f>IF($U$111="zákl. přenesená",$N$111,0)</f>
        <v>0</v>
      </c>
      <c r="BH111" s="88">
        <f>IF($U$111="sníž. přenesená",$N$111,0)</f>
        <v>0</v>
      </c>
      <c r="BI111" s="88">
        <f>IF($U$111="nulová",$N$111,0)</f>
        <v>0</v>
      </c>
      <c r="BJ111" s="7" t="s">
        <v>68</v>
      </c>
      <c r="BK111" s="88">
        <f>ROUND($L$111*$K$111,2)</f>
        <v>0</v>
      </c>
      <c r="BL111" s="7" t="s">
        <v>111</v>
      </c>
    </row>
    <row r="112" spans="2:64" s="7" customFormat="1" ht="30" customHeight="1" x14ac:dyDescent="0.3">
      <c r="B112" s="21"/>
      <c r="C112" s="179">
        <f t="shared" ref="C112:C123" si="0">C111+1</f>
        <v>2</v>
      </c>
      <c r="D112" s="121"/>
      <c r="E112" s="128"/>
      <c r="F112" s="352" t="s">
        <v>188</v>
      </c>
      <c r="G112" s="289"/>
      <c r="H112" s="289"/>
      <c r="I112" s="289"/>
      <c r="J112" s="122" t="s">
        <v>109</v>
      </c>
      <c r="K112" s="123">
        <v>1</v>
      </c>
      <c r="L112" s="300">
        <v>0</v>
      </c>
      <c r="M112" s="301"/>
      <c r="N112" s="302">
        <f t="shared" ref="N112:N128" si="1">ROUND(L112*K112,2)</f>
        <v>0</v>
      </c>
      <c r="O112" s="303"/>
      <c r="P112" s="303"/>
      <c r="Q112" s="304"/>
      <c r="R112" s="22"/>
      <c r="T112" s="124"/>
      <c r="U112" s="28" t="s">
        <v>28</v>
      </c>
      <c r="V112" s="125">
        <v>0</v>
      </c>
      <c r="W112" s="125">
        <f>$V$112*$K$112</f>
        <v>0</v>
      </c>
      <c r="X112" s="125">
        <v>0</v>
      </c>
      <c r="Y112" s="125">
        <f>$X$112*$K$112</f>
        <v>0</v>
      </c>
      <c r="Z112" s="125">
        <v>0</v>
      </c>
      <c r="AA112" s="126">
        <f>$Z$112*$K$112</f>
        <v>0</v>
      </c>
      <c r="AR112" s="7" t="s">
        <v>111</v>
      </c>
      <c r="AT112" s="7" t="s">
        <v>106</v>
      </c>
      <c r="AU112" s="7" t="s">
        <v>70</v>
      </c>
      <c r="AY112" s="7" t="s">
        <v>105</v>
      </c>
      <c r="BE112" s="88">
        <f>IF($U$112="základní",$N$112,0)</f>
        <v>0</v>
      </c>
      <c r="BF112" s="88">
        <f>IF($U$112="snížená",$N$112,0)</f>
        <v>0</v>
      </c>
      <c r="BG112" s="88">
        <f>IF($U$112="zákl. přenesená",$N$112,0)</f>
        <v>0</v>
      </c>
      <c r="BH112" s="88">
        <f>IF($U$112="sníž. přenesená",$N$112,0)</f>
        <v>0</v>
      </c>
      <c r="BI112" s="88">
        <f>IF($U$112="nulová",$N$112,0)</f>
        <v>0</v>
      </c>
      <c r="BJ112" s="7" t="s">
        <v>68</v>
      </c>
      <c r="BK112" s="88">
        <f>ROUND($L$112*$K$112,2)</f>
        <v>0</v>
      </c>
      <c r="BL112" s="7" t="s">
        <v>111</v>
      </c>
    </row>
    <row r="113" spans="2:64" s="7" customFormat="1" ht="45" customHeight="1" x14ac:dyDescent="0.3">
      <c r="B113" s="21"/>
      <c r="C113" s="179">
        <f t="shared" si="0"/>
        <v>3</v>
      </c>
      <c r="D113" s="121"/>
      <c r="E113" s="128"/>
      <c r="F113" s="352" t="s">
        <v>183</v>
      </c>
      <c r="G113" s="289"/>
      <c r="H113" s="289"/>
      <c r="I113" s="289"/>
      <c r="J113" s="122" t="s">
        <v>109</v>
      </c>
      <c r="K113" s="123">
        <v>1</v>
      </c>
      <c r="L113" s="300">
        <v>0</v>
      </c>
      <c r="M113" s="301"/>
      <c r="N113" s="302">
        <f t="shared" si="1"/>
        <v>0</v>
      </c>
      <c r="O113" s="303"/>
      <c r="P113" s="303"/>
      <c r="Q113" s="304"/>
      <c r="R113" s="22"/>
      <c r="T113" s="124"/>
      <c r="U113" s="28" t="s">
        <v>28</v>
      </c>
      <c r="V113" s="125">
        <v>0</v>
      </c>
      <c r="W113" s="125">
        <f>$V$113*$K$113</f>
        <v>0</v>
      </c>
      <c r="X113" s="125">
        <v>0</v>
      </c>
      <c r="Y113" s="125">
        <f>$X$113*$K$113</f>
        <v>0</v>
      </c>
      <c r="Z113" s="125">
        <v>0</v>
      </c>
      <c r="AA113" s="126">
        <f>$Z$113*$K$113</f>
        <v>0</v>
      </c>
      <c r="AR113" s="7" t="s">
        <v>111</v>
      </c>
      <c r="AT113" s="7" t="s">
        <v>106</v>
      </c>
      <c r="AU113" s="7" t="s">
        <v>70</v>
      </c>
      <c r="AY113" s="7" t="s">
        <v>105</v>
      </c>
      <c r="BE113" s="88">
        <f>IF($U$113="základní",$N$113,0)</f>
        <v>0</v>
      </c>
      <c r="BF113" s="88">
        <f>IF($U$113="snížená",$N$113,0)</f>
        <v>0</v>
      </c>
      <c r="BG113" s="88">
        <f>IF($U$113="zákl. přenesená",$N$113,0)</f>
        <v>0</v>
      </c>
      <c r="BH113" s="88">
        <f>IF($U$113="sníž. přenesená",$N$113,0)</f>
        <v>0</v>
      </c>
      <c r="BI113" s="88">
        <f>IF($U$113="nulová",$N$113,0)</f>
        <v>0</v>
      </c>
      <c r="BJ113" s="7" t="s">
        <v>68</v>
      </c>
      <c r="BK113" s="88">
        <f>ROUND($L$113*$K$113,2)</f>
        <v>0</v>
      </c>
      <c r="BL113" s="7" t="s">
        <v>111</v>
      </c>
    </row>
    <row r="114" spans="2:64" s="7" customFormat="1" ht="45" customHeight="1" x14ac:dyDescent="0.3">
      <c r="B114" s="21"/>
      <c r="C114" s="179">
        <f t="shared" si="0"/>
        <v>4</v>
      </c>
      <c r="D114" s="121"/>
      <c r="E114" s="128"/>
      <c r="F114" s="326" t="s">
        <v>173</v>
      </c>
      <c r="G114" s="289"/>
      <c r="H114" s="289"/>
      <c r="I114" s="289"/>
      <c r="J114" s="122" t="s">
        <v>109</v>
      </c>
      <c r="K114" s="123">
        <v>1</v>
      </c>
      <c r="L114" s="300">
        <v>0</v>
      </c>
      <c r="M114" s="301"/>
      <c r="N114" s="302">
        <f t="shared" si="1"/>
        <v>0</v>
      </c>
      <c r="O114" s="303"/>
      <c r="P114" s="303"/>
      <c r="Q114" s="304"/>
      <c r="R114" s="22"/>
      <c r="T114" s="124"/>
      <c r="U114" s="28" t="s">
        <v>28</v>
      </c>
      <c r="V114" s="125">
        <v>0</v>
      </c>
      <c r="W114" s="125">
        <f>$V$114*$K$114</f>
        <v>0</v>
      </c>
      <c r="X114" s="125">
        <v>0</v>
      </c>
      <c r="Y114" s="125">
        <f>$X$114*$K$114</f>
        <v>0</v>
      </c>
      <c r="Z114" s="125">
        <v>0</v>
      </c>
      <c r="AA114" s="126">
        <f>$Z$114*$K$114</f>
        <v>0</v>
      </c>
      <c r="AR114" s="7" t="s">
        <v>111</v>
      </c>
      <c r="AT114" s="7" t="s">
        <v>106</v>
      </c>
      <c r="AU114" s="7" t="s">
        <v>70</v>
      </c>
      <c r="AY114" s="7" t="s">
        <v>105</v>
      </c>
      <c r="BE114" s="88">
        <f>IF($U$114="základní",$N$114,0)</f>
        <v>0</v>
      </c>
      <c r="BF114" s="88">
        <f>IF($U$114="snížená",$N$114,0)</f>
        <v>0</v>
      </c>
      <c r="BG114" s="88">
        <f>IF($U$114="zákl. přenesená",$N$114,0)</f>
        <v>0</v>
      </c>
      <c r="BH114" s="88">
        <f>IF($U$114="sníž. přenesená",$N$114,0)</f>
        <v>0</v>
      </c>
      <c r="BI114" s="88">
        <f>IF($U$114="nulová",$N$114,0)</f>
        <v>0</v>
      </c>
      <c r="BJ114" s="7" t="s">
        <v>68</v>
      </c>
      <c r="BK114" s="88">
        <f>ROUND($L$114*$K$114,2)</f>
        <v>0</v>
      </c>
      <c r="BL114" s="7" t="s">
        <v>111</v>
      </c>
    </row>
    <row r="115" spans="2:64" s="173" customFormat="1" ht="75" customHeight="1" x14ac:dyDescent="0.3">
      <c r="B115" s="21"/>
      <c r="C115" s="179">
        <f t="shared" si="0"/>
        <v>5</v>
      </c>
      <c r="D115" s="147"/>
      <c r="E115" s="149"/>
      <c r="F115" s="326" t="s">
        <v>174</v>
      </c>
      <c r="G115" s="289"/>
      <c r="H115" s="289"/>
      <c r="I115" s="289"/>
      <c r="J115" s="122" t="s">
        <v>109</v>
      </c>
      <c r="K115" s="148">
        <v>1</v>
      </c>
      <c r="L115" s="300">
        <v>0</v>
      </c>
      <c r="M115" s="301"/>
      <c r="N115" s="302">
        <f t="shared" si="1"/>
        <v>0</v>
      </c>
      <c r="O115" s="303"/>
      <c r="P115" s="303"/>
      <c r="Q115" s="304"/>
      <c r="R115" s="22"/>
      <c r="T115" s="124"/>
      <c r="U115" s="28"/>
      <c r="V115" s="125"/>
      <c r="W115" s="125"/>
      <c r="X115" s="125"/>
      <c r="Y115" s="125"/>
      <c r="Z115" s="125"/>
      <c r="AA115" s="126"/>
      <c r="BE115" s="88"/>
      <c r="BF115" s="88"/>
      <c r="BG115" s="88"/>
      <c r="BH115" s="88"/>
      <c r="BI115" s="88"/>
      <c r="BK115" s="88"/>
    </row>
    <row r="116" spans="2:64" s="7" customFormat="1" ht="19.899999999999999" customHeight="1" x14ac:dyDescent="0.3">
      <c r="B116" s="21"/>
      <c r="C116" s="179">
        <f t="shared" si="0"/>
        <v>6</v>
      </c>
      <c r="D116" s="121"/>
      <c r="E116" s="128"/>
      <c r="F116" s="352" t="s">
        <v>190</v>
      </c>
      <c r="G116" s="289"/>
      <c r="H116" s="289"/>
      <c r="I116" s="289"/>
      <c r="J116" s="122" t="s">
        <v>109</v>
      </c>
      <c r="K116" s="123">
        <v>1</v>
      </c>
      <c r="L116" s="300">
        <v>0</v>
      </c>
      <c r="M116" s="301"/>
      <c r="N116" s="302">
        <f t="shared" si="1"/>
        <v>0</v>
      </c>
      <c r="O116" s="303"/>
      <c r="P116" s="303"/>
      <c r="Q116" s="304"/>
      <c r="R116" s="22"/>
      <c r="T116" s="124"/>
      <c r="U116" s="28" t="s">
        <v>28</v>
      </c>
      <c r="V116" s="125">
        <v>0</v>
      </c>
      <c r="W116" s="125">
        <f>$V$116*$K$116</f>
        <v>0</v>
      </c>
      <c r="X116" s="125">
        <v>0</v>
      </c>
      <c r="Y116" s="125">
        <f>$X$116*$K$116</f>
        <v>0</v>
      </c>
      <c r="Z116" s="125">
        <v>0</v>
      </c>
      <c r="AA116" s="126">
        <f>$Z$116*$K$116</f>
        <v>0</v>
      </c>
      <c r="AR116" s="7" t="s">
        <v>111</v>
      </c>
      <c r="AT116" s="7" t="s">
        <v>106</v>
      </c>
      <c r="AU116" s="7" t="s">
        <v>70</v>
      </c>
      <c r="AY116" s="7" t="s">
        <v>105</v>
      </c>
      <c r="BE116" s="88">
        <f>IF($U$116="základní",$N$116,0)</f>
        <v>0</v>
      </c>
      <c r="BF116" s="88">
        <f>IF($U$116="snížená",$N$116,0)</f>
        <v>0</v>
      </c>
      <c r="BG116" s="88">
        <f>IF($U$116="zákl. přenesená",$N$116,0)</f>
        <v>0</v>
      </c>
      <c r="BH116" s="88">
        <f>IF($U$116="sníž. přenesená",$N$116,0)</f>
        <v>0</v>
      </c>
      <c r="BI116" s="88">
        <f>IF($U$116="nulová",$N$116,0)</f>
        <v>0</v>
      </c>
      <c r="BJ116" s="7" t="s">
        <v>68</v>
      </c>
      <c r="BK116" s="88">
        <f>ROUND($L$116*$K$116,2)</f>
        <v>0</v>
      </c>
      <c r="BL116" s="7" t="s">
        <v>111</v>
      </c>
    </row>
    <row r="117" spans="2:64" s="7" customFormat="1" ht="20.100000000000001" customHeight="1" x14ac:dyDescent="0.3">
      <c r="B117" s="21"/>
      <c r="C117" s="179">
        <f t="shared" si="0"/>
        <v>7</v>
      </c>
      <c r="D117" s="121"/>
      <c r="E117" s="128"/>
      <c r="F117" s="352" t="s">
        <v>175</v>
      </c>
      <c r="G117" s="289"/>
      <c r="H117" s="289"/>
      <c r="I117" s="289"/>
      <c r="J117" s="122" t="s">
        <v>109</v>
      </c>
      <c r="K117" s="123">
        <v>1</v>
      </c>
      <c r="L117" s="300">
        <v>0</v>
      </c>
      <c r="M117" s="301"/>
      <c r="N117" s="302">
        <f t="shared" si="1"/>
        <v>0</v>
      </c>
      <c r="O117" s="303"/>
      <c r="P117" s="303"/>
      <c r="Q117" s="304"/>
      <c r="R117" s="22"/>
      <c r="T117" s="124"/>
      <c r="U117" s="28" t="s">
        <v>28</v>
      </c>
      <c r="V117" s="125">
        <v>0</v>
      </c>
      <c r="W117" s="125">
        <f>$V$117*$K$117</f>
        <v>0</v>
      </c>
      <c r="X117" s="125">
        <v>0</v>
      </c>
      <c r="Y117" s="125">
        <f>$X$117*$K$117</f>
        <v>0</v>
      </c>
      <c r="Z117" s="125">
        <v>0</v>
      </c>
      <c r="AA117" s="126">
        <f>$Z$117*$K$117</f>
        <v>0</v>
      </c>
      <c r="AR117" s="7" t="s">
        <v>111</v>
      </c>
      <c r="AT117" s="7" t="s">
        <v>106</v>
      </c>
      <c r="AU117" s="7" t="s">
        <v>70</v>
      </c>
      <c r="AY117" s="7" t="s">
        <v>105</v>
      </c>
      <c r="BE117" s="88">
        <f>IF($U$117="základní",$N$117,0)</f>
        <v>0</v>
      </c>
      <c r="BF117" s="88">
        <f>IF($U$117="snížená",$N$117,0)</f>
        <v>0</v>
      </c>
      <c r="BG117" s="88">
        <f>IF($U$117="zákl. přenesená",$N$117,0)</f>
        <v>0</v>
      </c>
      <c r="BH117" s="88">
        <f>IF($U$117="sníž. přenesená",$N$117,0)</f>
        <v>0</v>
      </c>
      <c r="BI117" s="88">
        <f>IF($U$117="nulová",$N$117,0)</f>
        <v>0</v>
      </c>
      <c r="BJ117" s="7" t="s">
        <v>68</v>
      </c>
      <c r="BK117" s="88">
        <f>ROUND($L$117*$K$117,2)</f>
        <v>0</v>
      </c>
      <c r="BL117" s="7" t="s">
        <v>111</v>
      </c>
    </row>
    <row r="118" spans="2:64" s="7" customFormat="1" ht="30" customHeight="1" x14ac:dyDescent="0.3">
      <c r="B118" s="21"/>
      <c r="C118" s="179">
        <f t="shared" si="0"/>
        <v>8</v>
      </c>
      <c r="D118" s="121"/>
      <c r="E118" s="128"/>
      <c r="F118" s="352" t="s">
        <v>176</v>
      </c>
      <c r="G118" s="289"/>
      <c r="H118" s="289"/>
      <c r="I118" s="289"/>
      <c r="J118" s="122" t="s">
        <v>109</v>
      </c>
      <c r="K118" s="123">
        <v>1</v>
      </c>
      <c r="L118" s="300">
        <v>0</v>
      </c>
      <c r="M118" s="301"/>
      <c r="N118" s="302">
        <f t="shared" si="1"/>
        <v>0</v>
      </c>
      <c r="O118" s="303"/>
      <c r="P118" s="303"/>
      <c r="Q118" s="304"/>
      <c r="R118" s="22"/>
      <c r="T118" s="124"/>
      <c r="U118" s="28" t="s">
        <v>28</v>
      </c>
      <c r="V118" s="125">
        <v>0</v>
      </c>
      <c r="W118" s="125">
        <f>$V$118*$K$118</f>
        <v>0</v>
      </c>
      <c r="X118" s="125">
        <v>0</v>
      </c>
      <c r="Y118" s="125">
        <f>$X$118*$K$118</f>
        <v>0</v>
      </c>
      <c r="Z118" s="125">
        <v>0</v>
      </c>
      <c r="AA118" s="126">
        <f>$Z$118*$K$118</f>
        <v>0</v>
      </c>
      <c r="AR118" s="7" t="s">
        <v>111</v>
      </c>
      <c r="AT118" s="7" t="s">
        <v>106</v>
      </c>
      <c r="AU118" s="7" t="s">
        <v>70</v>
      </c>
      <c r="AY118" s="7" t="s">
        <v>105</v>
      </c>
      <c r="BE118" s="88">
        <f>IF($U$118="základní",$N$118,0)</f>
        <v>0</v>
      </c>
      <c r="BF118" s="88">
        <f>IF($U$118="snížená",$N$118,0)</f>
        <v>0</v>
      </c>
      <c r="BG118" s="88">
        <f>IF($U$118="zákl. přenesená",$N$118,0)</f>
        <v>0</v>
      </c>
      <c r="BH118" s="88">
        <f>IF($U$118="sníž. přenesená",$N$118,0)</f>
        <v>0</v>
      </c>
      <c r="BI118" s="88">
        <f>IF($U$118="nulová",$N$118,0)</f>
        <v>0</v>
      </c>
      <c r="BJ118" s="7" t="s">
        <v>68</v>
      </c>
      <c r="BK118" s="88">
        <f>ROUND($L$118*$K$118,2)</f>
        <v>0</v>
      </c>
      <c r="BL118" s="7" t="s">
        <v>111</v>
      </c>
    </row>
    <row r="119" spans="2:64" s="170" customFormat="1" ht="67.5" customHeight="1" x14ac:dyDescent="0.3">
      <c r="B119" s="21"/>
      <c r="C119" s="179">
        <f t="shared" si="0"/>
        <v>9</v>
      </c>
      <c r="D119" s="147"/>
      <c r="E119" s="149"/>
      <c r="F119" s="352" t="s">
        <v>247</v>
      </c>
      <c r="G119" s="289"/>
      <c r="H119" s="289"/>
      <c r="I119" s="289"/>
      <c r="J119" s="122" t="s">
        <v>109</v>
      </c>
      <c r="K119" s="148">
        <v>1</v>
      </c>
      <c r="L119" s="324">
        <v>0</v>
      </c>
      <c r="M119" s="301"/>
      <c r="N119" s="302">
        <f t="shared" si="1"/>
        <v>0</v>
      </c>
      <c r="O119" s="303"/>
      <c r="P119" s="303"/>
      <c r="Q119" s="304"/>
      <c r="R119" s="22"/>
      <c r="T119" s="124"/>
      <c r="U119" s="28"/>
      <c r="V119" s="125"/>
      <c r="W119" s="125"/>
      <c r="X119" s="125"/>
      <c r="Y119" s="125"/>
      <c r="Z119" s="125"/>
      <c r="AA119" s="126"/>
      <c r="BE119" s="88"/>
      <c r="BF119" s="88"/>
      <c r="BG119" s="88"/>
      <c r="BH119" s="88"/>
      <c r="BI119" s="88"/>
      <c r="BK119" s="88"/>
    </row>
    <row r="120" spans="2:64" s="170" customFormat="1" ht="114.95" customHeight="1" x14ac:dyDescent="0.3">
      <c r="B120" s="21"/>
      <c r="C120" s="179">
        <f t="shared" si="0"/>
        <v>10</v>
      </c>
      <c r="D120" s="147"/>
      <c r="E120" s="149"/>
      <c r="F120" s="352" t="s">
        <v>246</v>
      </c>
      <c r="G120" s="289"/>
      <c r="H120" s="289"/>
      <c r="I120" s="289"/>
      <c r="J120" s="122" t="s">
        <v>109</v>
      </c>
      <c r="K120" s="148">
        <v>1</v>
      </c>
      <c r="L120" s="300">
        <v>0</v>
      </c>
      <c r="M120" s="301"/>
      <c r="N120" s="302">
        <f t="shared" si="1"/>
        <v>0</v>
      </c>
      <c r="O120" s="303"/>
      <c r="P120" s="303"/>
      <c r="Q120" s="304"/>
      <c r="R120" s="22"/>
      <c r="T120" s="124"/>
      <c r="U120" s="28"/>
      <c r="V120" s="125"/>
      <c r="W120" s="125"/>
      <c r="X120" s="125"/>
      <c r="Y120" s="125"/>
      <c r="Z120" s="125"/>
      <c r="AA120" s="126"/>
      <c r="BE120" s="88"/>
      <c r="BF120" s="88"/>
      <c r="BG120" s="88"/>
      <c r="BH120" s="88"/>
      <c r="BI120" s="88"/>
      <c r="BK120" s="88"/>
    </row>
    <row r="121" spans="2:64" s="170" customFormat="1" ht="43.5" customHeight="1" x14ac:dyDescent="0.3">
      <c r="B121" s="21"/>
      <c r="C121" s="179">
        <f t="shared" si="0"/>
        <v>11</v>
      </c>
      <c r="D121" s="147"/>
      <c r="E121" s="149"/>
      <c r="F121" s="352" t="s">
        <v>248</v>
      </c>
      <c r="G121" s="289"/>
      <c r="H121" s="289"/>
      <c r="I121" s="289"/>
      <c r="J121" s="122" t="s">
        <v>109</v>
      </c>
      <c r="K121" s="148">
        <v>1</v>
      </c>
      <c r="L121" s="300">
        <v>0</v>
      </c>
      <c r="M121" s="301"/>
      <c r="N121" s="302">
        <f t="shared" si="1"/>
        <v>0</v>
      </c>
      <c r="O121" s="303"/>
      <c r="P121" s="303"/>
      <c r="Q121" s="304"/>
      <c r="R121" s="22"/>
      <c r="T121" s="124"/>
      <c r="U121" s="28"/>
      <c r="V121" s="125"/>
      <c r="W121" s="125"/>
      <c r="X121" s="125"/>
      <c r="Y121" s="125"/>
      <c r="Z121" s="125"/>
      <c r="AA121" s="126"/>
      <c r="BE121" s="88"/>
      <c r="BF121" s="88"/>
      <c r="BG121" s="88"/>
      <c r="BH121" s="88"/>
      <c r="BI121" s="88"/>
      <c r="BK121" s="88"/>
    </row>
    <row r="122" spans="2:64" s="170" customFormat="1" ht="140.25" customHeight="1" x14ac:dyDescent="0.3">
      <c r="B122" s="21"/>
      <c r="C122" s="179">
        <f t="shared" si="0"/>
        <v>12</v>
      </c>
      <c r="D122" s="147"/>
      <c r="E122" s="149"/>
      <c r="F122" s="352" t="s">
        <v>249</v>
      </c>
      <c r="G122" s="289"/>
      <c r="H122" s="289"/>
      <c r="I122" s="289"/>
      <c r="J122" s="122" t="s">
        <v>109</v>
      </c>
      <c r="K122" s="148">
        <v>1</v>
      </c>
      <c r="L122" s="300">
        <v>0</v>
      </c>
      <c r="M122" s="301"/>
      <c r="N122" s="302">
        <f t="shared" si="1"/>
        <v>0</v>
      </c>
      <c r="O122" s="303"/>
      <c r="P122" s="303"/>
      <c r="Q122" s="304"/>
      <c r="R122" s="22"/>
      <c r="T122" s="124"/>
      <c r="U122" s="28"/>
      <c r="V122" s="125"/>
      <c r="W122" s="125"/>
      <c r="X122" s="125"/>
      <c r="Y122" s="125"/>
      <c r="Z122" s="125"/>
      <c r="AA122" s="126"/>
      <c r="BE122" s="88"/>
      <c r="BF122" s="88"/>
      <c r="BG122" s="88"/>
      <c r="BH122" s="88"/>
      <c r="BI122" s="88"/>
      <c r="BK122" s="88"/>
    </row>
    <row r="123" spans="2:64" s="170" customFormat="1" ht="20.100000000000001" customHeight="1" x14ac:dyDescent="0.3">
      <c r="B123" s="21"/>
      <c r="C123" s="179">
        <f t="shared" si="0"/>
        <v>13</v>
      </c>
      <c r="D123" s="147"/>
      <c r="E123" s="149"/>
      <c r="F123" s="352" t="s">
        <v>184</v>
      </c>
      <c r="G123" s="289"/>
      <c r="H123" s="289"/>
      <c r="I123" s="289"/>
      <c r="J123" s="122" t="s">
        <v>109</v>
      </c>
      <c r="K123" s="148">
        <v>1</v>
      </c>
      <c r="L123" s="300">
        <v>0</v>
      </c>
      <c r="M123" s="301"/>
      <c r="N123" s="302">
        <f t="shared" si="1"/>
        <v>0</v>
      </c>
      <c r="O123" s="303"/>
      <c r="P123" s="303"/>
      <c r="Q123" s="304"/>
      <c r="R123" s="22"/>
      <c r="T123" s="124"/>
      <c r="U123" s="28"/>
      <c r="V123" s="125"/>
      <c r="W123" s="125"/>
      <c r="X123" s="125"/>
      <c r="Y123" s="125"/>
      <c r="Z123" s="125"/>
      <c r="AA123" s="126"/>
      <c r="BE123" s="88"/>
      <c r="BF123" s="88"/>
      <c r="BG123" s="88"/>
      <c r="BH123" s="88"/>
      <c r="BI123" s="88"/>
      <c r="BK123" s="88"/>
    </row>
    <row r="124" spans="2:64" s="7" customFormat="1" ht="20.100000000000001" customHeight="1" x14ac:dyDescent="0.3">
      <c r="B124" s="21"/>
      <c r="C124" s="147">
        <f>C123+1</f>
        <v>14</v>
      </c>
      <c r="D124" s="121"/>
      <c r="E124" s="128"/>
      <c r="F124" s="347" t="s">
        <v>177</v>
      </c>
      <c r="G124" s="350"/>
      <c r="H124" s="350"/>
      <c r="I124" s="351"/>
      <c r="J124" s="122" t="s">
        <v>109</v>
      </c>
      <c r="K124" s="123">
        <v>1</v>
      </c>
      <c r="L124" s="300">
        <v>0</v>
      </c>
      <c r="M124" s="301"/>
      <c r="N124" s="302">
        <f t="shared" si="1"/>
        <v>0</v>
      </c>
      <c r="O124" s="303"/>
      <c r="P124" s="303"/>
      <c r="Q124" s="304"/>
      <c r="R124" s="22"/>
      <c r="T124" s="124"/>
      <c r="U124" s="28" t="s">
        <v>28</v>
      </c>
      <c r="V124" s="125">
        <v>0</v>
      </c>
      <c r="W124" s="125">
        <f>$V$124*$K$124</f>
        <v>0</v>
      </c>
      <c r="X124" s="125">
        <v>0</v>
      </c>
      <c r="Y124" s="125">
        <f>$X$124*$K$124</f>
        <v>0</v>
      </c>
      <c r="Z124" s="125">
        <v>0</v>
      </c>
      <c r="AA124" s="126">
        <f>$Z$124*$K$124</f>
        <v>0</v>
      </c>
      <c r="AR124" s="7" t="s">
        <v>111</v>
      </c>
      <c r="AT124" s="7" t="s">
        <v>106</v>
      </c>
      <c r="AU124" s="7" t="s">
        <v>70</v>
      </c>
      <c r="AY124" s="7" t="s">
        <v>105</v>
      </c>
      <c r="BE124" s="88">
        <f>IF($U$124="základní",$N$124,0)</f>
        <v>0</v>
      </c>
      <c r="BF124" s="88">
        <f>IF($U$124="snížená",$N$124,0)</f>
        <v>0</v>
      </c>
      <c r="BG124" s="88">
        <f>IF($U$124="zákl. přenesená",$N$124,0)</f>
        <v>0</v>
      </c>
      <c r="BH124" s="88">
        <f>IF($U$124="sníž. přenesená",$N$124,0)</f>
        <v>0</v>
      </c>
      <c r="BI124" s="88">
        <f>IF($U$124="nulová",$N$124,0)</f>
        <v>0</v>
      </c>
      <c r="BJ124" s="7" t="s">
        <v>68</v>
      </c>
      <c r="BK124" s="88">
        <f>ROUND($L$124*$K$124,2)</f>
        <v>0</v>
      </c>
      <c r="BL124" s="7" t="s">
        <v>111</v>
      </c>
    </row>
    <row r="125" spans="2:64" s="169" customFormat="1" ht="45" customHeight="1" x14ac:dyDescent="0.3">
      <c r="B125" s="21"/>
      <c r="C125" s="179">
        <f t="shared" ref="C125:C128" si="2">C124+1</f>
        <v>15</v>
      </c>
      <c r="D125" s="147"/>
      <c r="E125" s="149"/>
      <c r="F125" s="347" t="s">
        <v>185</v>
      </c>
      <c r="G125" s="350"/>
      <c r="H125" s="350"/>
      <c r="I125" s="351"/>
      <c r="J125" s="122" t="s">
        <v>109</v>
      </c>
      <c r="K125" s="148">
        <v>1</v>
      </c>
      <c r="L125" s="300">
        <v>0</v>
      </c>
      <c r="M125" s="301"/>
      <c r="N125" s="302">
        <f t="shared" si="1"/>
        <v>0</v>
      </c>
      <c r="O125" s="303"/>
      <c r="P125" s="303"/>
      <c r="Q125" s="304"/>
      <c r="R125" s="22"/>
      <c r="T125" s="124"/>
      <c r="U125" s="28"/>
      <c r="V125" s="125"/>
      <c r="W125" s="125"/>
      <c r="X125" s="125"/>
      <c r="Y125" s="125"/>
      <c r="Z125" s="125"/>
      <c r="AA125" s="126"/>
      <c r="BE125" s="88"/>
      <c r="BF125" s="88"/>
      <c r="BG125" s="88"/>
      <c r="BH125" s="88"/>
      <c r="BI125" s="88"/>
      <c r="BK125" s="88"/>
    </row>
    <row r="126" spans="2:64" s="7" customFormat="1" ht="20.100000000000001" customHeight="1" x14ac:dyDescent="0.3">
      <c r="B126" s="21"/>
      <c r="C126" s="179">
        <f t="shared" si="2"/>
        <v>16</v>
      </c>
      <c r="D126" s="147"/>
      <c r="E126" s="149"/>
      <c r="F126" s="347" t="s">
        <v>178</v>
      </c>
      <c r="G126" s="348"/>
      <c r="H126" s="348"/>
      <c r="I126" s="349"/>
      <c r="J126" s="122" t="s">
        <v>109</v>
      </c>
      <c r="K126" s="148">
        <v>1</v>
      </c>
      <c r="L126" s="300">
        <v>0</v>
      </c>
      <c r="M126" s="301"/>
      <c r="N126" s="302">
        <f t="shared" si="1"/>
        <v>0</v>
      </c>
      <c r="O126" s="303"/>
      <c r="P126" s="303"/>
      <c r="Q126" s="304"/>
      <c r="R126" s="22"/>
      <c r="T126" s="124"/>
      <c r="U126" s="28" t="s">
        <v>28</v>
      </c>
      <c r="V126" s="125">
        <v>0</v>
      </c>
      <c r="W126" s="125">
        <f>$V$126*$K$126</f>
        <v>0</v>
      </c>
      <c r="X126" s="125">
        <v>0</v>
      </c>
      <c r="Y126" s="125">
        <f>$X$126*$K$126</f>
        <v>0</v>
      </c>
      <c r="Z126" s="125">
        <v>0</v>
      </c>
      <c r="AA126" s="126">
        <f>$Z$126*$K$126</f>
        <v>0</v>
      </c>
      <c r="AR126" s="7" t="s">
        <v>111</v>
      </c>
      <c r="AT126" s="7" t="s">
        <v>106</v>
      </c>
      <c r="AU126" s="7" t="s">
        <v>70</v>
      </c>
      <c r="AY126" s="7" t="s">
        <v>105</v>
      </c>
      <c r="BE126" s="88">
        <f>IF($U$126="základní",$N$126,0)</f>
        <v>0</v>
      </c>
      <c r="BF126" s="88">
        <f>IF($U$126="snížená",$N$126,0)</f>
        <v>0</v>
      </c>
      <c r="BG126" s="88">
        <f>IF($U$126="zákl. přenesená",$N$126,0)</f>
        <v>0</v>
      </c>
      <c r="BH126" s="88">
        <f>IF($U$126="sníž. přenesená",$N$126,0)</f>
        <v>0</v>
      </c>
      <c r="BI126" s="88">
        <f>IF($U$126="nulová",$N$126,0)</f>
        <v>0</v>
      </c>
      <c r="BJ126" s="7" t="s">
        <v>68</v>
      </c>
      <c r="BK126" s="88">
        <f>ROUND($L$126*$K$126,2)</f>
        <v>0</v>
      </c>
      <c r="BL126" s="7" t="s">
        <v>111</v>
      </c>
    </row>
    <row r="127" spans="2:64" s="170" customFormat="1" ht="30" customHeight="1" x14ac:dyDescent="0.3">
      <c r="B127" s="21"/>
      <c r="C127" s="179">
        <f t="shared" si="2"/>
        <v>17</v>
      </c>
      <c r="D127" s="139"/>
      <c r="E127" s="149"/>
      <c r="F127" s="347" t="s">
        <v>189</v>
      </c>
      <c r="G127" s="348"/>
      <c r="H127" s="348"/>
      <c r="I127" s="349"/>
      <c r="J127" s="150" t="s">
        <v>109</v>
      </c>
      <c r="K127" s="148">
        <v>1</v>
      </c>
      <c r="L127" s="290">
        <v>0</v>
      </c>
      <c r="M127" s="291"/>
      <c r="N127" s="302">
        <f t="shared" si="1"/>
        <v>0</v>
      </c>
      <c r="O127" s="303"/>
      <c r="P127" s="303"/>
      <c r="Q127" s="304"/>
      <c r="R127" s="22"/>
      <c r="T127" s="171"/>
      <c r="U127" s="28"/>
      <c r="V127" s="125"/>
      <c r="W127" s="125"/>
      <c r="X127" s="125"/>
      <c r="Y127" s="125"/>
      <c r="Z127" s="125"/>
      <c r="AA127" s="172"/>
      <c r="BE127" s="88"/>
      <c r="BF127" s="88"/>
      <c r="BG127" s="88"/>
      <c r="BH127" s="88"/>
      <c r="BI127" s="88"/>
      <c r="BK127" s="88"/>
    </row>
    <row r="128" spans="2:64" s="170" customFormat="1" ht="30" customHeight="1" x14ac:dyDescent="0.3">
      <c r="B128" s="21"/>
      <c r="C128" s="179">
        <f t="shared" si="2"/>
        <v>18</v>
      </c>
      <c r="D128" s="139"/>
      <c r="E128" s="149"/>
      <c r="F128" s="326" t="s">
        <v>187</v>
      </c>
      <c r="G128" s="289"/>
      <c r="H128" s="289"/>
      <c r="I128" s="289"/>
      <c r="J128" s="150" t="s">
        <v>109</v>
      </c>
      <c r="K128" s="148">
        <v>1</v>
      </c>
      <c r="L128" s="290">
        <v>0</v>
      </c>
      <c r="M128" s="291"/>
      <c r="N128" s="302">
        <f t="shared" si="1"/>
        <v>0</v>
      </c>
      <c r="O128" s="303"/>
      <c r="P128" s="303"/>
      <c r="Q128" s="304"/>
      <c r="R128" s="22"/>
      <c r="T128" s="171"/>
      <c r="U128" s="28"/>
      <c r="V128" s="125"/>
      <c r="W128" s="125"/>
      <c r="X128" s="125"/>
      <c r="Y128" s="125"/>
      <c r="Z128" s="125"/>
      <c r="AA128" s="172"/>
      <c r="BE128" s="88"/>
      <c r="BF128" s="88"/>
      <c r="BG128" s="88"/>
      <c r="BH128" s="88"/>
      <c r="BI128" s="88"/>
      <c r="BK128" s="88"/>
    </row>
    <row r="129" spans="2:63" s="7" customFormat="1" ht="24.95" customHeight="1" x14ac:dyDescent="0.35">
      <c r="B129" s="21"/>
      <c r="C129" s="112"/>
      <c r="D129" s="113" t="s">
        <v>179</v>
      </c>
      <c r="E129" s="113"/>
      <c r="F129" s="113"/>
      <c r="G129" s="113"/>
      <c r="H129" s="113"/>
      <c r="I129" s="113"/>
      <c r="J129" s="113"/>
      <c r="K129" s="113"/>
      <c r="L129" s="113"/>
      <c r="M129" s="113"/>
      <c r="N129" s="314">
        <f>N130</f>
        <v>0</v>
      </c>
      <c r="O129" s="298"/>
      <c r="P129" s="298"/>
      <c r="Q129" s="298"/>
      <c r="R129" s="22"/>
      <c r="T129" s="135"/>
      <c r="U129" s="28"/>
      <c r="V129" s="125"/>
      <c r="W129" s="125"/>
      <c r="X129" s="125"/>
      <c r="Y129" s="125"/>
      <c r="Z129" s="125"/>
      <c r="AA129" s="125"/>
      <c r="BE129" s="88"/>
      <c r="BF129" s="88"/>
      <c r="BG129" s="88"/>
      <c r="BH129" s="88"/>
      <c r="BI129" s="88"/>
      <c r="BK129" s="88"/>
    </row>
    <row r="130" spans="2:63" s="7" customFormat="1" ht="20.100000000000001" customHeight="1" x14ac:dyDescent="0.3">
      <c r="B130" s="21"/>
      <c r="C130" s="112"/>
      <c r="D130" s="120" t="s">
        <v>181</v>
      </c>
      <c r="E130" s="120"/>
      <c r="F130" s="120"/>
      <c r="G130" s="120"/>
      <c r="H130" s="120"/>
      <c r="I130" s="120"/>
      <c r="J130" s="120"/>
      <c r="K130" s="120"/>
      <c r="L130" s="120"/>
      <c r="M130" s="120"/>
      <c r="N130" s="297">
        <f>SUM(N131:Q133)</f>
        <v>0</v>
      </c>
      <c r="O130" s="298"/>
      <c r="P130" s="298"/>
      <c r="Q130" s="298"/>
      <c r="R130" s="22"/>
      <c r="T130" s="135"/>
      <c r="U130" s="28"/>
      <c r="V130" s="125"/>
      <c r="W130" s="125"/>
      <c r="X130" s="125"/>
      <c r="Y130" s="125"/>
      <c r="Z130" s="125"/>
      <c r="AA130" s="125"/>
      <c r="BE130" s="88"/>
      <c r="BF130" s="88"/>
      <c r="BG130" s="88"/>
      <c r="BH130" s="88"/>
      <c r="BI130" s="88"/>
      <c r="BK130" s="88"/>
    </row>
    <row r="131" spans="2:63" s="169" customFormat="1" ht="42" customHeight="1" x14ac:dyDescent="0.3">
      <c r="B131" s="21"/>
      <c r="C131" s="147">
        <f>C128+1</f>
        <v>19</v>
      </c>
      <c r="D131" s="139"/>
      <c r="E131" s="149"/>
      <c r="F131" s="326" t="s">
        <v>251</v>
      </c>
      <c r="G131" s="289"/>
      <c r="H131" s="289"/>
      <c r="I131" s="289"/>
      <c r="J131" s="150" t="s">
        <v>109</v>
      </c>
      <c r="K131" s="148">
        <v>1</v>
      </c>
      <c r="L131" s="300">
        <v>0</v>
      </c>
      <c r="M131" s="301"/>
      <c r="N131" s="302">
        <f>ROUND(K131*L131,2)</f>
        <v>0</v>
      </c>
      <c r="O131" s="303"/>
      <c r="P131" s="303"/>
      <c r="Q131" s="304"/>
      <c r="R131" s="22"/>
      <c r="T131" s="135"/>
      <c r="U131" s="28"/>
      <c r="V131" s="125"/>
      <c r="W131" s="125"/>
      <c r="X131" s="125"/>
      <c r="Y131" s="125"/>
      <c r="Z131" s="125"/>
      <c r="AA131" s="125"/>
      <c r="BE131" s="88"/>
      <c r="BF131" s="88"/>
      <c r="BG131" s="88"/>
      <c r="BH131" s="88"/>
      <c r="BI131" s="88"/>
      <c r="BK131" s="88"/>
    </row>
    <row r="132" spans="2:63" s="7" customFormat="1" ht="42.75" customHeight="1" x14ac:dyDescent="0.3">
      <c r="B132" s="21"/>
      <c r="C132" s="147">
        <f>C131+1</f>
        <v>20</v>
      </c>
      <c r="D132" s="134"/>
      <c r="E132" s="128"/>
      <c r="F132" s="326" t="s">
        <v>250</v>
      </c>
      <c r="G132" s="289"/>
      <c r="H132" s="289"/>
      <c r="I132" s="289"/>
      <c r="J132" s="129" t="s">
        <v>109</v>
      </c>
      <c r="K132" s="123">
        <v>1</v>
      </c>
      <c r="L132" s="300">
        <v>0</v>
      </c>
      <c r="M132" s="301"/>
      <c r="N132" s="302">
        <f t="shared" ref="N132" si="3">ROUND(K132*L132,2)</f>
        <v>0</v>
      </c>
      <c r="O132" s="303"/>
      <c r="P132" s="303"/>
      <c r="Q132" s="304"/>
      <c r="R132" s="22"/>
      <c r="T132" s="135"/>
      <c r="U132" s="28"/>
      <c r="V132" s="125"/>
      <c r="W132" s="125"/>
      <c r="X132" s="125"/>
      <c r="Y132" s="125"/>
      <c r="Z132" s="125"/>
      <c r="AA132" s="125"/>
      <c r="BE132" s="88"/>
      <c r="BF132" s="88"/>
      <c r="BG132" s="88"/>
      <c r="BH132" s="88"/>
      <c r="BI132" s="88"/>
      <c r="BK132" s="88"/>
    </row>
    <row r="133" spans="2:63" s="242" customFormat="1" ht="30" customHeight="1" x14ac:dyDescent="0.3">
      <c r="B133" s="175"/>
      <c r="C133" s="179">
        <f>C132+1</f>
        <v>21</v>
      </c>
      <c r="D133" s="183"/>
      <c r="E133" s="149"/>
      <c r="F133" s="326" t="s">
        <v>380</v>
      </c>
      <c r="G133" s="289"/>
      <c r="H133" s="289"/>
      <c r="I133" s="289"/>
      <c r="J133" s="182" t="s">
        <v>109</v>
      </c>
      <c r="K133" s="180">
        <v>1</v>
      </c>
      <c r="L133" s="300">
        <v>0</v>
      </c>
      <c r="M133" s="301"/>
      <c r="N133" s="302">
        <f t="shared" ref="N133" si="4">ROUND(K133*L133,2)</f>
        <v>0</v>
      </c>
      <c r="O133" s="303"/>
      <c r="P133" s="303"/>
      <c r="Q133" s="304"/>
      <c r="R133" s="176"/>
      <c r="T133" s="135"/>
      <c r="U133" s="177"/>
      <c r="V133" s="181"/>
      <c r="W133" s="181"/>
      <c r="X133" s="181"/>
      <c r="Y133" s="181"/>
      <c r="Z133" s="181"/>
      <c r="AA133" s="181"/>
      <c r="BE133" s="178"/>
      <c r="BF133" s="178"/>
      <c r="BG133" s="178"/>
      <c r="BH133" s="178"/>
      <c r="BI133" s="178"/>
      <c r="BK133" s="178"/>
    </row>
    <row r="134" spans="2:63" s="7" customFormat="1" ht="7.5" customHeight="1" x14ac:dyDescent="0.3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5"/>
    </row>
  </sheetData>
  <sheetProtection algorithmName="SHA-512" hashValue="5cn/DD21XcVNlPZtq+CIzF2/vYiZXjwgTeYX1PWmiC8STPvdOKIbj1vIo+dKvNYQ3EvgeQor3VnfeyFDzD48Uw==" saltValue="hcGJooK8Pr/XX7pCF/bqaw==" spinCount="100000" sheet="1" selectLockedCells="1"/>
  <mergeCells count="122">
    <mergeCell ref="O12:P12"/>
    <mergeCell ref="O14:P14"/>
    <mergeCell ref="N115:Q115"/>
    <mergeCell ref="N122:Q122"/>
    <mergeCell ref="N123:Q123"/>
    <mergeCell ref="N116:Q116"/>
    <mergeCell ref="N120:Q120"/>
    <mergeCell ref="L121:M121"/>
    <mergeCell ref="L119:M119"/>
    <mergeCell ref="L114:M114"/>
    <mergeCell ref="L118:M118"/>
    <mergeCell ref="L111:M111"/>
    <mergeCell ref="L113:M113"/>
    <mergeCell ref="L112:M112"/>
    <mergeCell ref="L117:M117"/>
    <mergeCell ref="L115:M115"/>
    <mergeCell ref="L122:M122"/>
    <mergeCell ref="L123:M123"/>
    <mergeCell ref="L116:M116"/>
    <mergeCell ref="L120:M120"/>
    <mergeCell ref="C75:Q75"/>
    <mergeCell ref="L91:Q91"/>
    <mergeCell ref="E15:L15"/>
    <mergeCell ref="C97:Q97"/>
    <mergeCell ref="H1:K1"/>
    <mergeCell ref="F107:I107"/>
    <mergeCell ref="L107:M107"/>
    <mergeCell ref="N107:Q107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F102:I102"/>
    <mergeCell ref="F80:I80"/>
    <mergeCell ref="M30:P30"/>
    <mergeCell ref="H31:J31"/>
    <mergeCell ref="M31:P31"/>
    <mergeCell ref="H30:J30"/>
    <mergeCell ref="M102:P102"/>
    <mergeCell ref="H32:J32"/>
    <mergeCell ref="M105:Q105"/>
    <mergeCell ref="H29:J29"/>
    <mergeCell ref="F100:P100"/>
    <mergeCell ref="F99:P99"/>
    <mergeCell ref="O15:P15"/>
    <mergeCell ref="O17:P17"/>
    <mergeCell ref="O18:P18"/>
    <mergeCell ref="O20:P20"/>
    <mergeCell ref="O21:P21"/>
    <mergeCell ref="M24:P24"/>
    <mergeCell ref="M26:P26"/>
    <mergeCell ref="H28:J28"/>
    <mergeCell ref="M28:P28"/>
    <mergeCell ref="M29:P29"/>
    <mergeCell ref="F77:P77"/>
    <mergeCell ref="M32:P32"/>
    <mergeCell ref="L34:P34"/>
    <mergeCell ref="S2:AC2"/>
    <mergeCell ref="F9:L9"/>
    <mergeCell ref="F8:L8"/>
    <mergeCell ref="C2:Q2"/>
    <mergeCell ref="C4:Q4"/>
    <mergeCell ref="F6:P6"/>
    <mergeCell ref="F7:P7"/>
    <mergeCell ref="O9:P9"/>
    <mergeCell ref="O11:P11"/>
    <mergeCell ref="M104:Q104"/>
    <mergeCell ref="F114:I114"/>
    <mergeCell ref="N114:Q114"/>
    <mergeCell ref="F117:I117"/>
    <mergeCell ref="F118:I118"/>
    <mergeCell ref="N118:Q118"/>
    <mergeCell ref="N111:Q111"/>
    <mergeCell ref="N108:Q108"/>
    <mergeCell ref="N109:Q109"/>
    <mergeCell ref="F111:I111"/>
    <mergeCell ref="N110:Q110"/>
    <mergeCell ref="N113:Q113"/>
    <mergeCell ref="F113:I113"/>
    <mergeCell ref="F112:I112"/>
    <mergeCell ref="N112:Q112"/>
    <mergeCell ref="N117:Q117"/>
    <mergeCell ref="L128:M128"/>
    <mergeCell ref="L125:M125"/>
    <mergeCell ref="L124:M124"/>
    <mergeCell ref="N124:Q124"/>
    <mergeCell ref="F115:I115"/>
    <mergeCell ref="F123:I123"/>
    <mergeCell ref="F116:I116"/>
    <mergeCell ref="F120:I120"/>
    <mergeCell ref="F119:I119"/>
    <mergeCell ref="N119:Q119"/>
    <mergeCell ref="F121:I121"/>
    <mergeCell ref="F133:I133"/>
    <mergeCell ref="L133:M133"/>
    <mergeCell ref="N133:Q133"/>
    <mergeCell ref="F126:I126"/>
    <mergeCell ref="F124:I124"/>
    <mergeCell ref="F127:I127"/>
    <mergeCell ref="F128:I128"/>
    <mergeCell ref="N121:Q121"/>
    <mergeCell ref="F122:I122"/>
    <mergeCell ref="N126:Q126"/>
    <mergeCell ref="F132:I132"/>
    <mergeCell ref="N129:Q129"/>
    <mergeCell ref="N130:Q130"/>
    <mergeCell ref="N132:Q132"/>
    <mergeCell ref="F131:I131"/>
    <mergeCell ref="N131:Q131"/>
    <mergeCell ref="F125:I125"/>
    <mergeCell ref="L131:M131"/>
    <mergeCell ref="L132:M132"/>
    <mergeCell ref="N127:Q127"/>
    <mergeCell ref="N128:Q128"/>
    <mergeCell ref="N125:Q125"/>
    <mergeCell ref="L126:M126"/>
    <mergeCell ref="L127:M127"/>
  </mergeCells>
  <hyperlinks>
    <hyperlink ref="F1:G1" location="C2" tooltip="Krycí list rozpočtu" display="1) Krycí list rozpočtu" xr:uid="{00000000-0004-0000-0700-000000000000}"/>
    <hyperlink ref="H1:K1" location="'VN + ON'!C93" tooltip="Rekapitulace rozpočtu" display="2) Rekapitulace rozpočtu" xr:uid="{00000000-0004-0000-0700-000001000000}"/>
    <hyperlink ref="L1" location="'VN + ON'!C113" tooltip="Rozpočet" display="3) Rozpočet" xr:uid="{00000000-0004-0000-0700-000002000000}"/>
    <hyperlink ref="S1:T1" location="'Rekapitulace stavby'!C2" tooltip="Rekapitulace stavby" display="Rekapitulace stavby" xr:uid="{00000000-0004-0000-0700-000003000000}"/>
    <hyperlink ref="F1" location="'VN + ON'!C4" tooltip="Krycí list rozpočtu" display="1) Krycí list rozpočtu" xr:uid="{F12F6C72-25C2-44FF-8652-C59A291313AD}"/>
    <hyperlink ref="S1" location="Rekapitulace!C4" tooltip="Rekapitulace stavby" display="Rekapitulace stavby" xr:uid="{61D6622E-DFBA-4702-B408-81267119C91F}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16</vt:i4>
      </vt:variant>
    </vt:vector>
  </HeadingPairs>
  <TitlesOfParts>
    <vt:vector size="23" baseType="lpstr">
      <vt:lpstr>Rekapitulace</vt:lpstr>
      <vt:lpstr>SO01</vt:lpstr>
      <vt:lpstr>SO02</vt:lpstr>
      <vt:lpstr>SO03</vt:lpstr>
      <vt:lpstr>SO04</vt:lpstr>
      <vt:lpstr>IO01</vt:lpstr>
      <vt:lpstr>VN + ON</vt:lpstr>
      <vt:lpstr>_</vt:lpstr>
      <vt:lpstr>_SO02</vt:lpstr>
      <vt:lpstr>_SO03</vt:lpstr>
      <vt:lpstr>'IO01'!Názvy_tisku</vt:lpstr>
      <vt:lpstr>Rekapitulace!Názvy_tisku</vt:lpstr>
      <vt:lpstr>'SO01'!Názvy_tisku</vt:lpstr>
      <vt:lpstr>'SO03'!Názvy_tisku</vt:lpstr>
      <vt:lpstr>'SO04'!Názvy_tisku</vt:lpstr>
      <vt:lpstr>'VN + ON'!Názvy_tisku</vt:lpstr>
      <vt:lpstr>'IO01'!Oblast_tisku</vt:lpstr>
      <vt:lpstr>Rekapitulace!Oblast_tisku</vt:lpstr>
      <vt:lpstr>'SO01'!Oblast_tisku</vt:lpstr>
      <vt:lpstr>'SO02'!Oblast_tisku</vt:lpstr>
      <vt:lpstr>'SO03'!Oblast_tisku</vt:lpstr>
      <vt:lpstr>'SO04'!Oblast_tisku</vt:lpstr>
      <vt:lpstr>'VN + 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Lebeda</dc:creator>
  <cp:lastModifiedBy>David</cp:lastModifiedBy>
  <cp:lastPrinted>2020-11-12T13:25:55Z</cp:lastPrinted>
  <dcterms:created xsi:type="dcterms:W3CDTF">2019-04-25T07:42:54Z</dcterms:created>
  <dcterms:modified xsi:type="dcterms:W3CDTF">2021-03-08T08:29:21Z</dcterms:modified>
</cp:coreProperties>
</file>