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5" yWindow="1905" windowWidth="1980" windowHeight="16065" tabRatio="585" activeTab="4"/>
  </bookViews>
  <sheets>
    <sheet name="KRYCI LIST ROZPOCTU" sheetId="1" r:id="rId1"/>
    <sheet name="REKAPITULACE STAVBA" sheetId="2" r:id="rId2"/>
    <sheet name="STAVBA" sheetId="3" r:id="rId3"/>
    <sheet name="REKAPITULACE ROZVODY SKR ANN" sheetId="4" r:id="rId4"/>
    <sheet name="ROZVODY SKR a NN" sheetId="5" r:id="rId5"/>
  </sheets>
  <definedNames>
    <definedName name="__shared_2_0_0">"a1"*"b1"</definedName>
    <definedName name="__shared_2_1_0">"a1"*"d1"</definedName>
    <definedName name="__shared_2_10_0">"a1"*"d1"</definedName>
    <definedName name="__shared_2_11_0">"a1"+"c1"</definedName>
    <definedName name="__shared_2_12_0">"b1"*"a1"</definedName>
    <definedName name="__shared_2_13_0">"d1"*"a1"</definedName>
    <definedName name="__shared_2_14_0">"c1"+"a1"</definedName>
    <definedName name="__shared_2_15_0">"b1"*"a1"</definedName>
    <definedName name="__shared_2_16_0">"d1"*"a1"</definedName>
    <definedName name="__shared_2_17_0">"c1"+"a1"</definedName>
    <definedName name="__shared_2_18_0">"a1"+1</definedName>
    <definedName name="__shared_2_2_0">"a1"+"c1"</definedName>
    <definedName name="__shared_2_3_0">"a1"*"b1"</definedName>
    <definedName name="__shared_2_4_0">"a1"*"d1"</definedName>
    <definedName name="__shared_2_5_0">"a1"+"c1"</definedName>
    <definedName name="__shared_2_6_0">"a1"*"b1"</definedName>
    <definedName name="__shared_2_7_0">"a1"*"d1"</definedName>
    <definedName name="__shared_2_8_0">"a1"+"c1"</definedName>
    <definedName name="__shared_2_9_0">"a1"*"b1"</definedName>
    <definedName name="_xlnm._FilterDatabase" localSheetId="4" hidden="1">'ROZVODY SKR a NN'!$B$3:$B$133</definedName>
    <definedName name="_xlnm._FilterDatabase" localSheetId="2" hidden="1">'STAVBA'!$B$3:$B$25</definedName>
    <definedName name="_xlfn.SUMIFS" hidden="1">#NAME?</definedName>
    <definedName name="Excel_BuiltIn_Print_Area" localSheetId="4">'ROZVODY SKR a NN'!$A$1:$K$129</definedName>
    <definedName name="Excel_BuiltIn_Print_Area" localSheetId="2">'STAVBA'!$A$1:$K$21</definedName>
    <definedName name="kurz_EU">"#ref!"</definedName>
    <definedName name="kurz_usd">"#ref!"</definedName>
    <definedName name="marze_hw">"#ref!"</definedName>
    <definedName name="marze_sluzby">"#ref!"</definedName>
    <definedName name="marze_sw">"#ref!"</definedName>
    <definedName name="_xlnm.Print_Area" localSheetId="4">'ROZVODY SKR a NN'!$A$1:$K$133</definedName>
    <definedName name="_xlnm.Print_Area" localSheetId="2">'STAVBA'!$A$1:$K$25</definedName>
  </definedNames>
  <calcPr fullCalcOnLoad="1"/>
</workbook>
</file>

<file path=xl/sharedStrings.xml><?xml version="1.0" encoding="utf-8"?>
<sst xmlns="http://schemas.openxmlformats.org/spreadsheetml/2006/main" count="718" uniqueCount="384">
  <si>
    <t>NÁZEV AKCE:</t>
  </si>
  <si>
    <t>ČÍSLO PROJEKTU:</t>
  </si>
  <si>
    <t>VERZE:</t>
  </si>
  <si>
    <t>p.č.</t>
  </si>
  <si>
    <t>základ</t>
  </si>
  <si>
    <t>cena /Kč/</t>
  </si>
  <si>
    <t>CENA bez DPH</t>
  </si>
  <si>
    <t>DATUM:</t>
  </si>
  <si>
    <t>%</t>
  </si>
  <si>
    <t>Mimostaveništní doprava</t>
  </si>
  <si>
    <t>POLOŽKY ROZPOČTU</t>
  </si>
  <si>
    <t>CENA CELKEM</t>
  </si>
  <si>
    <t>Pol.</t>
  </si>
  <si>
    <t>Číslo</t>
  </si>
  <si>
    <t>Obchodní název</t>
  </si>
  <si>
    <t>MJ</t>
  </si>
  <si>
    <t>Počet</t>
  </si>
  <si>
    <t>Cena/MJ</t>
  </si>
  <si>
    <t>Celkem</t>
  </si>
  <si>
    <t>m</t>
  </si>
  <si>
    <t>CELKEM:</t>
  </si>
  <si>
    <t>Materiál montážní</t>
  </si>
  <si>
    <t>Prořez</t>
  </si>
  <si>
    <t>Materiál podružný</t>
  </si>
  <si>
    <t>Demontáže a přesuny</t>
  </si>
  <si>
    <t>Montáže</t>
  </si>
  <si>
    <t>PPV pro elektromontáže</t>
  </si>
  <si>
    <t>Materiál+výkony celkem</t>
  </si>
  <si>
    <t>Ostatní náklady</t>
  </si>
  <si>
    <t>NÁKLADY hl.III celkem</t>
  </si>
  <si>
    <t>zařízení staveniště</t>
  </si>
  <si>
    <t>NÁKLADY hl.VI celkem</t>
  </si>
  <si>
    <t>Kompletační činnost</t>
  </si>
  <si>
    <t>Výchozí revize</t>
  </si>
  <si>
    <t>NÁKLADY hl.XI celkem</t>
  </si>
  <si>
    <t>MATERIÁL</t>
  </si>
  <si>
    <t>INSTALACE</t>
  </si>
  <si>
    <t>ks</t>
  </si>
  <si>
    <t>Kotvící materiál</t>
  </si>
  <si>
    <t>Kabely a vodiče silové</t>
  </si>
  <si>
    <t>Konektory, spojky, krytky, keystone, inserty</t>
  </si>
  <si>
    <t>Panely plné, vyvazovací, police přístrojové</t>
  </si>
  <si>
    <t>Příchytky, stahovací pásky</t>
  </si>
  <si>
    <t>Označovací štítky</t>
  </si>
  <si>
    <t>Tmely, ostatní</t>
  </si>
  <si>
    <t>Průrazy, ucpávky</t>
  </si>
  <si>
    <t>Přepěťové ochrany, jističe, rozvodnice, oka</t>
  </si>
  <si>
    <t>Měření</t>
  </si>
  <si>
    <t xml:space="preserve">Uchazeč si je plně vědom, že kontrola výkazu výměr je součástí zadávacích podmínek.
Všechna zařízení, systémy a konstrukce budou oceňovány a dodávány plně funkční, tj. včetně všech komponentů, upevňovacích prvků, podpor a prostupů atd. Ceny obsahují náklady na přesun hmot a případný odvoz sutě, pokud není v zadávacích podmínkách uvedeno jinak. </t>
  </si>
  <si>
    <t>Plechové žlaby a příslušenství</t>
  </si>
  <si>
    <t>Trubky a příslušenství</t>
  </si>
  <si>
    <t>Zásuvky silové</t>
  </si>
  <si>
    <t>Propojovací kabely metalické cat.5e nestíněné</t>
  </si>
  <si>
    <t>Kabely sdělovací - cat.5e nestíněné</t>
  </si>
  <si>
    <t>Rozvodné panely - osazené cat.5e nestíněné</t>
  </si>
  <si>
    <t>NN rozvaděče a příslušenství</t>
  </si>
  <si>
    <t>Instalace metalických ukončovacích prvků - zapojení</t>
  </si>
  <si>
    <t>Výrobce</t>
  </si>
  <si>
    <t>Žlab LINEAR 2     50/50 "SZ" 0,8mm-  bez perforace, podpěry 2,0m</t>
  </si>
  <si>
    <t>bal</t>
  </si>
  <si>
    <t>Víko žlabu LINEAR VL   50 "SZ" 0,8mm</t>
  </si>
  <si>
    <t>Spojka žlabu LINEAR  SL 2/50 "SZ" (240mm)</t>
  </si>
  <si>
    <t>Spojka víka žlabu LINEAR SVL-50</t>
  </si>
  <si>
    <t>Spojovací sada žlabu LINEAR SSL M8 - "GEOMET"    (1bal = 100 ks)</t>
  </si>
  <si>
    <t>Držák nástěnný (stupačkový) žlabu LINEAR DNL  50 "SZ"</t>
  </si>
  <si>
    <t>Ochranný obvodový lem žlabu LINEAR OLL 1</t>
  </si>
  <si>
    <t>Ochranný obvodový lem dvojitý žlabu LINEAR OLL 2</t>
  </si>
  <si>
    <t>Sprej zinkový - zinek 98% 400ml</t>
  </si>
  <si>
    <t>Jistič LPN, In 16 A,  charakteristika C, 1-pól, Icn 10 kA</t>
  </si>
  <si>
    <t>Vázací pásky odolné proti UV, 120x2,5mm, černá</t>
  </si>
  <si>
    <t>Vázací pásky odolné proti UV, 203x3,6mm, černá</t>
  </si>
  <si>
    <t>Kabel U/UTP Cat.5e 4x2xAWG24, 100MHz, LSOH plášť modrý</t>
  </si>
  <si>
    <t>Propojovací kabel, Cat.5e nestíněný, 2xRJ-45, délka 2m, barva šedá</t>
  </si>
  <si>
    <t>Montážní sada do rozvaděče - multipack 100x šroub + plovoucí matka + podložka</t>
  </si>
  <si>
    <t>Krabice a příslušenství</t>
  </si>
  <si>
    <t>Krabice přístrojová na omítku bezhalogenová pro dvojzásuvku Tango, 80x104x28mm</t>
  </si>
  <si>
    <t>Trubka ohebná PVC EN, střední mechanická pevnost Ø32mm</t>
  </si>
  <si>
    <t>Ohebná dvouplášťová korugovaná chránička, Ø50mm, bezhalogenová</t>
  </si>
  <si>
    <t>Zásuvka dvojnásobná s ochrannými kolíky Tango, s clonkami, s natočenou dutinou, bílá</t>
  </si>
  <si>
    <t>19" patchpanel kompaktní, 24xRJ-45 nestíněný Cat.5, 1U, RAL 7035</t>
  </si>
  <si>
    <t>Izolační páska PVC, černá, typ COROPLAST 15mm/10metrů</t>
  </si>
  <si>
    <t>Izolační pásky</t>
  </si>
  <si>
    <t>Vytýčení tras ve volném terénu</t>
  </si>
  <si>
    <t>m2</t>
  </si>
  <si>
    <t>Měření metalické linky UTP vč.certif.protokolu</t>
  </si>
  <si>
    <t xml:space="preserve">Ukončení kabelu UTP 4páry na keystone </t>
  </si>
  <si>
    <t>Ukončení vodiče do 2,5mm2, včetně označení</t>
  </si>
  <si>
    <t>Ukončení vodiče do 4mm2, včetně označení</t>
  </si>
  <si>
    <t>Ukončení vodiče do 10mm2, včetně označení</t>
  </si>
  <si>
    <t>Návlečka pro značení vodičů 0,35 - 2,5mm2</t>
  </si>
  <si>
    <t>Návlečka pro značení vodičů 4 - 10mm2</t>
  </si>
  <si>
    <t>Štítek na kabely 32,6x11,5mm na stahovací pásky</t>
  </si>
  <si>
    <t>Popisovací páska Casio ČB 9mm</t>
  </si>
  <si>
    <t>Tmel silikonový bílý</t>
  </si>
  <si>
    <t>Tmel akrylátový bílý</t>
  </si>
  <si>
    <t>Montážní pěna PUR 750 ml</t>
  </si>
  <si>
    <t>Tmel protipožární CP 611A</t>
  </si>
  <si>
    <t>Sádra bílá</t>
  </si>
  <si>
    <t>Směs omítková Cemix 7</t>
  </si>
  <si>
    <t>Plsť minerální protipožární Orsil</t>
  </si>
  <si>
    <t>kg</t>
  </si>
  <si>
    <t>Provedení průrazu vč.zapravení do L=60cm</t>
  </si>
  <si>
    <t>Provedení protipožární ucpávky</t>
  </si>
  <si>
    <t>Úklidové práce po instalaci a ekologická likvidace vzniklého odpadu</t>
  </si>
  <si>
    <t>Stavební přípomoce, průrazy, zapravení aj.</t>
  </si>
  <si>
    <t>Inženýrská činnost a technická podpora (KD aj.)</t>
  </si>
  <si>
    <t>Projektová dokumentace pro provedení stavby</t>
  </si>
  <si>
    <t>Projektová dokumentace skutečního provedení stavby</t>
  </si>
  <si>
    <t>kpl</t>
  </si>
  <si>
    <t>hod</t>
  </si>
  <si>
    <t>H07V-K 10 ZŽ</t>
  </si>
  <si>
    <t>H07V-K 10 ČERNÝ</t>
  </si>
  <si>
    <t>19" vyvazovací panel, 5x velké oko, 1U</t>
  </si>
  <si>
    <t>Výkopy a zaměření a vytýčení tras</t>
  </si>
  <si>
    <t>01</t>
  </si>
  <si>
    <t>Trubka ohebná PVC EN, střední mechanická pevnost Ø25mm</t>
  </si>
  <si>
    <t>Prapetní žlaby a přísušenství</t>
  </si>
  <si>
    <t xml:space="preserve">Kanál pro vestavbu přístrojů Rapid 45, typ GEK-K 53160 </t>
  </si>
  <si>
    <t>Plochý roh klesající pro GEK-K 53160</t>
  </si>
  <si>
    <t>Koncový díl levý pro GEK-K 53160</t>
  </si>
  <si>
    <t>Koncový díl pravý pro GEK-K 53160</t>
  </si>
  <si>
    <t xml:space="preserve">Vrchní díl </t>
  </si>
  <si>
    <t>Kryt spojů pro GEK-K 53160 a  GEK-K 53100</t>
  </si>
  <si>
    <t>Stínící přepážka</t>
  </si>
  <si>
    <t>Drobný kotvící materiál (kotvy, hmoždinky, vruty, apod.)</t>
  </si>
  <si>
    <t>Zásuvka 1násobná 0°, se zemnícím kolíkem, přímá, bílá</t>
  </si>
  <si>
    <t>Kryt zásuvky komunikační s popisovým polem, Tango, bílá</t>
  </si>
  <si>
    <t>Maska nosná s 2 otvory, pro RJ45, pro kryt Tango</t>
  </si>
  <si>
    <t>Datová zásuvka 45x45,neos.,pro 2x modul,RAL 9010</t>
  </si>
  <si>
    <t>H07V-K 10 MODRÝ</t>
  </si>
  <si>
    <t>Zásuvka dvojnásobná s ochrannými kolíky Tango, s clonkami, s natočenou dutinou, barevná</t>
  </si>
  <si>
    <t>Krabice univerzální pod omítku bezhalogenová 68mm s vysekáním</t>
  </si>
  <si>
    <t>Box do stolu, např, KOPOBOX mini L</t>
  </si>
  <si>
    <t>Keystone modul nestíněný, Cat.5, samozářezový</t>
  </si>
  <si>
    <t>Jistič LPN, In 25 A, charakteristika C, 3-pól, Icn 10 kA</t>
  </si>
  <si>
    <t>Napěťová spoušť, Ue 110 - 415 V a.c. / 110 - 220 V d.c., pro LPE, LPN, APN</t>
  </si>
  <si>
    <t>Demontáž jistících prvků v datovém rozvaděči</t>
  </si>
  <si>
    <t xml:space="preserve">Propojení okruhů z datového rozvaděče do rozvaděče NN </t>
  </si>
  <si>
    <t>Tlačítko central stop s aretací a plastovou krytkou (na povrch)</t>
  </si>
  <si>
    <t>CYKY-J 3 x 1,5</t>
  </si>
  <si>
    <t>CYKY-O 3 x 1,5</t>
  </si>
  <si>
    <t>CYKY-J 3 x 2,5</t>
  </si>
  <si>
    <t>CYKY-J 5x10 RE</t>
  </si>
  <si>
    <t>H07V-K 4 ZŽ</t>
  </si>
  <si>
    <t>Tlačítko central stop s aretací a plastovou krytkou (vestavné do dveří rozvaděče)</t>
  </si>
  <si>
    <t>CYKY-O 5 x 1,5</t>
  </si>
  <si>
    <t>Zásuvka 2násobná 0°, se zemnícím kolíkem, přímá, bílá</t>
  </si>
  <si>
    <t>Zásuvka 2násobná 0°, se zemnícím kolíkem, přímá, červená</t>
  </si>
  <si>
    <t>Jistič LPN, In 2 A,  charakteristika B, 1-pól, Icn 10 kA</t>
  </si>
  <si>
    <t>Proudový chránič OFI, In 25 A, Ue 230/400 V a.c., Idn 30 mA, 4-pól, Inc 10 kA, typ AC</t>
  </si>
  <si>
    <t>Materiál pro úpravy v rozvaděčích (svorky, DIN lišty, dutinky, propojovací hřeben, apod.)</t>
  </si>
  <si>
    <t>Pomocný kontakt, 1x zapínací kontakt, 1x rozpínací kontakt, pro LPE, LPN, APN</t>
  </si>
  <si>
    <t>Jistič LPN, In 32 A, charakteristika C, 3-pól, Icn 10 kA</t>
  </si>
  <si>
    <t>Spojovací krabice na povrch</t>
  </si>
  <si>
    <t>Svítidla</t>
  </si>
  <si>
    <t>Svítidlo zářivkové, vestavné, stropní, 4x zdroj (bez zdroje) se zapojením</t>
  </si>
  <si>
    <t>Přesun pohybového čidla osvětlení</t>
  </si>
  <si>
    <t>Zdroj pro zářivkové svítidlo</t>
  </si>
  <si>
    <t>Vysekání rýh</t>
  </si>
  <si>
    <t>Vysekání rýhy hloubky 30mm, šířky 30mm, cihla</t>
  </si>
  <si>
    <t>Stavební rozpočet</t>
  </si>
  <si>
    <t>Název stavby:</t>
  </si>
  <si>
    <t>Dispečink Třemošná</t>
  </si>
  <si>
    <t>Doba výstavby:</t>
  </si>
  <si>
    <t>Objednatel:</t>
  </si>
  <si>
    <t>Druh stavby:</t>
  </si>
  <si>
    <t>Začátek výstavby:</t>
  </si>
  <si>
    <t>Projektant:</t>
  </si>
  <si>
    <t>Lokalita:</t>
  </si>
  <si>
    <t>Konec výstavby:</t>
  </si>
  <si>
    <t>Zhotovitel:</t>
  </si>
  <si>
    <t>JKSO:</t>
  </si>
  <si>
    <t>Zpracováno dne:</t>
  </si>
  <si>
    <t>Zpracoval:</t>
  </si>
  <si>
    <t>Č</t>
  </si>
  <si>
    <t>Objekt</t>
  </si>
  <si>
    <t>Kód</t>
  </si>
  <si>
    <t>Zkrácený popis</t>
  </si>
  <si>
    <t>M.j.</t>
  </si>
  <si>
    <t>Množství</t>
  </si>
  <si>
    <t>Jednot.</t>
  </si>
  <si>
    <t>Náklady (Kč)</t>
  </si>
  <si>
    <t>Hmotnost (t)</t>
  </si>
  <si>
    <t>Cenová</t>
  </si>
  <si>
    <t xml:space="preserve"> </t>
  </si>
  <si>
    <t>Rozměry</t>
  </si>
  <si>
    <t>cena (Kč)</t>
  </si>
  <si>
    <t>Dodávka</t>
  </si>
  <si>
    <t>Montáž</t>
  </si>
  <si>
    <t>soustava</t>
  </si>
  <si>
    <t>34</t>
  </si>
  <si>
    <t>Stěny a příčky</t>
  </si>
  <si>
    <t>1</t>
  </si>
  <si>
    <t>342247133R00</t>
  </si>
  <si>
    <t>Příčky z cihel HELUZ P 10 na maltu MVC 5, tl. 14</t>
  </si>
  <si>
    <t>RTS I / 2015</t>
  </si>
  <si>
    <t>2</t>
  </si>
  <si>
    <t>342951112R00</t>
  </si>
  <si>
    <t>Stěna dočasná - opatření proti prašnosti</t>
  </si>
  <si>
    <t>61</t>
  </si>
  <si>
    <t>Úprava povrchů vnitřní</t>
  </si>
  <si>
    <t>3</t>
  </si>
  <si>
    <t>612409991R00</t>
  </si>
  <si>
    <t>Začištění omítek kolem oken,dveří apod.</t>
  </si>
  <si>
    <t>4</t>
  </si>
  <si>
    <t>612421637R00</t>
  </si>
  <si>
    <t>Omítka vnitřní zdiva, MVC, štuková</t>
  </si>
  <si>
    <t>64</t>
  </si>
  <si>
    <t>Výplně otvorů</t>
  </si>
  <si>
    <t>5</t>
  </si>
  <si>
    <t>641952211R00</t>
  </si>
  <si>
    <t>Osazení rámů okenních dřevěných, plocha do 2,5 m2</t>
  </si>
  <si>
    <t>kus</t>
  </si>
  <si>
    <t>767</t>
  </si>
  <si>
    <t>Konstrukce doplňkové stavební (zámečnické)</t>
  </si>
  <si>
    <t>6</t>
  </si>
  <si>
    <t>767581801R00</t>
  </si>
  <si>
    <t>Demontáž podhledů - kazet</t>
  </si>
  <si>
    <t>7</t>
  </si>
  <si>
    <t>767584502R00</t>
  </si>
  <si>
    <t>Montáž podhledů kazetových na ocel.konstr.60x60 cm</t>
  </si>
  <si>
    <t>8</t>
  </si>
  <si>
    <t>767586201RT6</t>
  </si>
  <si>
    <t>Podhled minerální kazetový</t>
  </si>
  <si>
    <t>771</t>
  </si>
  <si>
    <t>Podlahy z dlaždic</t>
  </si>
  <si>
    <t>9</t>
  </si>
  <si>
    <t>771101116R00</t>
  </si>
  <si>
    <t>Vyrovnání podkladů samonivel. hmotou tl. do 30 mm</t>
  </si>
  <si>
    <t>10</t>
  </si>
  <si>
    <t>771111122R00</t>
  </si>
  <si>
    <t>Montáž podlahových lišt přechodových</t>
  </si>
  <si>
    <t>11</t>
  </si>
  <si>
    <t>771212113R00</t>
  </si>
  <si>
    <t>Kladení dlažby keramické do TM, vel. do 400x400 mm</t>
  </si>
  <si>
    <t>12</t>
  </si>
  <si>
    <t>59764210</t>
  </si>
  <si>
    <t>Dlažba Taurus Granit hladká protiskl. 300x300x9 mm</t>
  </si>
  <si>
    <t>13</t>
  </si>
  <si>
    <t>771101121R00</t>
  </si>
  <si>
    <t>Provedení penetrace podkladu</t>
  </si>
  <si>
    <t>784</t>
  </si>
  <si>
    <t>Malby</t>
  </si>
  <si>
    <t>16</t>
  </si>
  <si>
    <t>784191201R00</t>
  </si>
  <si>
    <t>Penetrace podkladu hloubková Primalex 1x</t>
  </si>
  <si>
    <t>17</t>
  </si>
  <si>
    <t>784195122R00</t>
  </si>
  <si>
    <t>Malba tekutá Primalex Standard, barva, 2 x</t>
  </si>
  <si>
    <t>94</t>
  </si>
  <si>
    <t>Lešení a stavební výtahy</t>
  </si>
  <si>
    <t>18</t>
  </si>
  <si>
    <t>941955001R00</t>
  </si>
  <si>
    <t>Lešení lehké pomocné, výška podlahy do 1,2 m</t>
  </si>
  <si>
    <t>95</t>
  </si>
  <si>
    <t>Různé dokončovací konstrukce a práce na pozemních stavbách</t>
  </si>
  <si>
    <t>19</t>
  </si>
  <si>
    <t>952901111R00</t>
  </si>
  <si>
    <t>Vyčištění budov o výšce podlaží do 4 m</t>
  </si>
  <si>
    <t>20</t>
  </si>
  <si>
    <t>952901110R00</t>
  </si>
  <si>
    <t>Čištění mytím vnějších ploch oken a dveří</t>
  </si>
  <si>
    <t>96</t>
  </si>
  <si>
    <t>Bourání konstrukcí</t>
  </si>
  <si>
    <t>21</t>
  </si>
  <si>
    <t>962031133R00</t>
  </si>
  <si>
    <t>Bourání příček cihelných tl. 15 cm</t>
  </si>
  <si>
    <t>22</t>
  </si>
  <si>
    <t>968062245R00</t>
  </si>
  <si>
    <t>Vybourání dřevěných rámů oken jednoduch. pl. 2 m2</t>
  </si>
  <si>
    <t>23</t>
  </si>
  <si>
    <t>968083001R00</t>
  </si>
  <si>
    <t>Vybourání plastových oken do 1 m2</t>
  </si>
  <si>
    <t>24</t>
  </si>
  <si>
    <t>965081713RT1</t>
  </si>
  <si>
    <t>Bourání dlaždic keramických tl. 1 cm, nad 1 m2</t>
  </si>
  <si>
    <t>H01</t>
  </si>
  <si>
    <t>Budovy občanské výstavby</t>
  </si>
  <si>
    <t>25</t>
  </si>
  <si>
    <t>998011001R00</t>
  </si>
  <si>
    <t>Přesun hmot pro budovy zděné výšky do 6 m</t>
  </si>
  <si>
    <t>t</t>
  </si>
  <si>
    <t>H771</t>
  </si>
  <si>
    <t>26</t>
  </si>
  <si>
    <t>998771101R00</t>
  </si>
  <si>
    <t>Přesun hmot pro podlahy z dlaždic, výšky do 6 m</t>
  </si>
  <si>
    <t>S</t>
  </si>
  <si>
    <t>Přesuny sutí</t>
  </si>
  <si>
    <t>27</t>
  </si>
  <si>
    <t>979083513R00</t>
  </si>
  <si>
    <t>Vodorovné přemístění suti do 1 km</t>
  </si>
  <si>
    <t>28</t>
  </si>
  <si>
    <t>979083117R00</t>
  </si>
  <si>
    <t>Vodorovné přemístění suti na skládku do 6000 m</t>
  </si>
  <si>
    <t>29</t>
  </si>
  <si>
    <t>979083191R00</t>
  </si>
  <si>
    <t>Příplatek za dalších započatých 1000 m nad 6000 m</t>
  </si>
  <si>
    <t>30</t>
  </si>
  <si>
    <t>979990001R00</t>
  </si>
  <si>
    <t>Poplatek za skládku stavební suti</t>
  </si>
  <si>
    <t>Ostatní materiál</t>
  </si>
  <si>
    <t>31</t>
  </si>
  <si>
    <t>61143173</t>
  </si>
  <si>
    <t>Okno plast. výsuvné 90x90 cm</t>
  </si>
  <si>
    <t>32</t>
  </si>
  <si>
    <t>111VD</t>
  </si>
  <si>
    <t>33</t>
  </si>
  <si>
    <t>112VD</t>
  </si>
  <si>
    <t>113VD</t>
  </si>
  <si>
    <t>35</t>
  </si>
  <si>
    <t>114VD</t>
  </si>
  <si>
    <t>37</t>
  </si>
  <si>
    <t>116VD</t>
  </si>
  <si>
    <t>Mobilní stolový kontejner 400x665x505 mm</t>
  </si>
  <si>
    <t>Celkem:</t>
  </si>
  <si>
    <t>Poznámka: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</si>
  <si>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</si>
  <si>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</si>
  <si>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</si>
  <si>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</si>
  <si>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</si>
  <si>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</si>
  <si>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</si>
  <si>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</si>
  <si>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</si>
  <si>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HS</t>
  </si>
  <si>
    <t>34_</t>
  </si>
  <si>
    <t>3_</t>
  </si>
  <si>
    <t>_</t>
  </si>
  <si>
    <t>61_</t>
  </si>
  <si>
    <t>6_</t>
  </si>
  <si>
    <t>64_</t>
  </si>
  <si>
    <t>PS</t>
  </si>
  <si>
    <t>767_</t>
  </si>
  <si>
    <t>76_</t>
  </si>
  <si>
    <t>771_</t>
  </si>
  <si>
    <t>77_</t>
  </si>
  <si>
    <t>0</t>
  </si>
  <si>
    <t>784_</t>
  </si>
  <si>
    <t>78_</t>
  </si>
  <si>
    <t>94_</t>
  </si>
  <si>
    <t>9_</t>
  </si>
  <si>
    <t>95_</t>
  </si>
  <si>
    <t>96_</t>
  </si>
  <si>
    <t>H01_</t>
  </si>
  <si>
    <t>H771_</t>
  </si>
  <si>
    <t>S_</t>
  </si>
  <si>
    <t>OM</t>
  </si>
  <si>
    <t>Z99999_</t>
  </si>
  <si>
    <t>Z_</t>
  </si>
  <si>
    <t>REKONSTRUKCE DISPEČINKU SKLAD TŘEMOŠNÁ</t>
  </si>
  <si>
    <t>06/2015</t>
  </si>
  <si>
    <t>Rekapitulace ceny – SKR A NN</t>
  </si>
  <si>
    <t>Položkový rozpočet – SKR A NN</t>
  </si>
  <si>
    <t>15Z024</t>
  </si>
  <si>
    <t>Krycí list rozpočtu - STAVBA, SKR A NN</t>
  </si>
  <si>
    <t>STAVBA</t>
  </si>
  <si>
    <t>SKR A NN</t>
  </si>
  <si>
    <t>Demontáž rozvodů NN v bourané příčce</t>
  </si>
  <si>
    <t>Demontáž datové zásuvky 11,12 a datových vývodů 13,14 z bourané příčky a přetažení stávající kabeláže do nového umístění v parapetním žlabu v konstrukci stolu</t>
  </si>
  <si>
    <t>Demontáž a opětovná montáž zdvojené podlahy v trase vedení rozvodů (cca 25m)</t>
  </si>
  <si>
    <t>Přesun podružného NN rozvaděče osvětlení</t>
  </si>
  <si>
    <t>Přesun stávajících svítidel v rušené a nově vytvořené chodbičce</t>
  </si>
  <si>
    <t>Úpravy ve stávajícím NN rozvaděči RTN050</t>
  </si>
  <si>
    <t>Úpravy ve stávajícím NN rozvaděči RMS073</t>
  </si>
  <si>
    <t>Demontáž a opětovná montáž podhledu pro možnost přesunu a instalace svítidel</t>
  </si>
  <si>
    <t>Přepojení stávajícího tlačítka total stop lávky+ bio</t>
  </si>
  <si>
    <t>39</t>
  </si>
  <si>
    <t>REKONSTRUKCE AB 050 SKLAD TŘEMOŠNÁ</t>
  </si>
  <si>
    <t>14Z026</t>
  </si>
  <si>
    <t>06/2014</t>
  </si>
  <si>
    <t>Rekapitulace ceny – Stavební úpravy</t>
  </si>
  <si>
    <t>HSV Dodávky</t>
  </si>
  <si>
    <t>HSV Montáž</t>
  </si>
  <si>
    <t>PSV Dodávky</t>
  </si>
  <si>
    <t>PSV Montáž</t>
  </si>
  <si>
    <t>Dodávky celkem</t>
  </si>
  <si>
    <t>Zařízení staveniště</t>
  </si>
  <si>
    <t>Projektová dokumentace DPS</t>
  </si>
  <si>
    <t>Celočalouněné zátěžové křeslo pro 24h provoz, mechanismus - synchronní s aretací polohy a nastavením tuhosti přítlaku opěráku, opěrák - vysoký, výškově stavitelný se stavitelnou bederní opěrkou, sedák - široký, hluboký, vyrobený z PU pěny, výškově stavitelný plynovým pístem, opěrka hlavy, bederní opěrka - hloubkově nastavitelná, kříž - kovový, černý nebo leštěný, područky - výškově stavitelné, kolečka - na tvrdý povrch</t>
  </si>
  <si>
    <t>Skříň na šanony s posuvnými dveřmi aluprofil - lamino (dřevodekor), výplň dveří lamino (dřevodekor)</t>
  </si>
  <si>
    <t>Skříňka se zašupavcími dvířky - lamino (dřevodekor)</t>
  </si>
  <si>
    <t>Výrobní dokumetnace dodávaného nábytku</t>
  </si>
  <si>
    <t>Stůl - zakázková výroba - lamino (dřevodekor) vč. Montáže, deska stolu tl. 36mm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</si>
</sst>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 * #,##0.00&quot; Kč &quot;;\-* #,##0.00&quot; Kč &quot;;\ * \-#&quot; Kč &quot;;@\ "/>
    <numFmt numFmtId="165" formatCode="#,##0.00&quot; Kč&quot;"/>
    <numFmt numFmtId="166" formatCode="#,##0.00\ [$Kč-405];[Red]\-#,##0.00\ [$Kč-405]"/>
    <numFmt numFmtId="167" formatCode="#\ ###\ ##0;#\ ###\ ##0"/>
    <numFmt numFmtId="168" formatCode="#,##0.00\ [$Kč-405];\-#,##0.00\ [$Kč-405]"/>
    <numFmt numFmtId="169" formatCode="#\ ###\ ##0.00"/>
    <numFmt numFmtId="170" formatCode="#,##0.00&quot;     &quot;;\-#,##0.00&quot;     &quot;"/>
    <numFmt numFmtId="171" formatCode="#,##0.00\ &quot;Kč&quot;;[Red]#,##0.00\ &quot;Kč&quot;"/>
    <numFmt numFmtId="172" formatCode="#,##0\ &quot;Kč&quot;;[Red]#,##0\ &quot;Kč&quot;"/>
    <numFmt numFmtId="173" formatCode="#,##0.00\ &quot;Kč&quot;"/>
    <numFmt numFmtId="174" formatCode="h:mm;@"/>
  </numFmts>
  <fonts count="70">
    <font>
      <sz val="11"/>
      <color indexed="8"/>
      <name val="Calibri"/>
      <family val="2"/>
    </font>
    <font>
      <sz val="10"/>
      <name val="Arial"/>
      <family val="0"/>
    </font>
    <font>
      <sz val="10"/>
      <name val="Calibri"/>
      <family val="2"/>
    </font>
    <font>
      <b/>
      <sz val="11"/>
      <color indexed="60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60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b/>
      <sz val="8"/>
      <color indexed="6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color indexed="8"/>
      <name val="Arial"/>
      <family val="0"/>
    </font>
    <font>
      <sz val="8"/>
      <color indexed="10"/>
      <name val="Arial"/>
      <family val="2"/>
    </font>
    <font>
      <sz val="8"/>
      <color indexed="60"/>
      <name val="Arial"/>
      <family val="2"/>
    </font>
    <font>
      <sz val="8"/>
      <name val="Calibri"/>
      <family val="2"/>
    </font>
    <font>
      <sz val="10"/>
      <name val="Arial CE"/>
      <family val="0"/>
    </font>
    <font>
      <sz val="8"/>
      <color indexed="8"/>
      <name val="Arial"/>
      <family val="2"/>
    </font>
    <font>
      <sz val="8"/>
      <name val="Tahoma"/>
      <family val="2"/>
    </font>
    <font>
      <sz val="18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b/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i/>
      <sz val="12"/>
      <color indexed="23"/>
      <name val="Calibri"/>
      <family val="2"/>
    </font>
    <font>
      <u val="single"/>
      <sz val="11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u val="single"/>
      <sz val="11"/>
      <color theme="10"/>
      <name val="Calibri"/>
      <family val="2"/>
    </font>
    <font>
      <sz val="12"/>
      <color rgb="FF9C0006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u val="single"/>
      <sz val="11"/>
      <color theme="11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0" borderId="0">
      <alignment/>
      <protection/>
    </xf>
    <xf numFmtId="164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1" fillId="0" borderId="0" applyFill="0" applyBorder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6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38" applyFont="1">
      <alignment/>
      <protection/>
    </xf>
    <xf numFmtId="0" fontId="3" fillId="0" borderId="0" xfId="39" applyFont="1" applyBorder="1" applyAlignment="1">
      <alignment vertical="center" wrapText="1"/>
      <protection/>
    </xf>
    <xf numFmtId="49" fontId="4" fillId="0" borderId="0" xfId="39" applyNumberFormat="1" applyFont="1" applyBorder="1" applyAlignment="1">
      <alignment horizontal="left" vertical="center"/>
      <protection/>
    </xf>
    <xf numFmtId="0" fontId="5" fillId="0" borderId="0" xfId="39" applyFont="1" applyBorder="1" applyAlignment="1">
      <alignment horizontal="left" vertical="center"/>
      <protection/>
    </xf>
    <xf numFmtId="0" fontId="6" fillId="0" borderId="0" xfId="38" applyFont="1" applyAlignment="1">
      <alignment horizontal="left" vertical="center"/>
      <protection/>
    </xf>
    <xf numFmtId="49" fontId="4" fillId="0" borderId="0" xfId="39" applyNumberFormat="1" applyFont="1" applyBorder="1" applyAlignment="1">
      <alignment horizontal="left" vertical="center" wrapText="1"/>
      <protection/>
    </xf>
    <xf numFmtId="0" fontId="5" fillId="0" borderId="0" xfId="39" applyFont="1" applyBorder="1" applyAlignment="1">
      <alignment horizontal="center" vertical="center" wrapText="1"/>
      <protection/>
    </xf>
    <xf numFmtId="0" fontId="6" fillId="0" borderId="0" xfId="38" applyFont="1" applyAlignment="1">
      <alignment vertical="center" wrapText="1"/>
      <protection/>
    </xf>
    <xf numFmtId="49" fontId="4" fillId="0" borderId="0" xfId="39" applyNumberFormat="1" applyFont="1" applyBorder="1" applyAlignment="1">
      <alignment horizontal="center" vertical="center" wrapText="1"/>
      <protection/>
    </xf>
    <xf numFmtId="0" fontId="4" fillId="0" borderId="0" xfId="39" applyFont="1" applyBorder="1" applyAlignment="1">
      <alignment horizontal="center" vertical="center" wrapText="1"/>
      <protection/>
    </xf>
    <xf numFmtId="0" fontId="6" fillId="0" borderId="0" xfId="38" applyFont="1" applyAlignment="1">
      <alignment vertical="center"/>
      <protection/>
    </xf>
    <xf numFmtId="0" fontId="7" fillId="0" borderId="10" xfId="39" applyFont="1" applyBorder="1" applyAlignment="1">
      <alignment horizontal="center" vertical="center"/>
      <protection/>
    </xf>
    <xf numFmtId="49" fontId="7" fillId="0" borderId="10" xfId="39" applyNumberFormat="1" applyFont="1" applyBorder="1" applyAlignment="1">
      <alignment horizontal="center" vertical="center"/>
      <protection/>
    </xf>
    <xf numFmtId="165" fontId="7" fillId="0" borderId="10" xfId="39" applyNumberFormat="1" applyFont="1" applyBorder="1" applyAlignment="1">
      <alignment horizontal="center" vertical="center"/>
      <protection/>
    </xf>
    <xf numFmtId="0" fontId="7" fillId="0" borderId="10" xfId="39" applyFont="1" applyBorder="1" applyAlignment="1">
      <alignment horizontal="right" vertical="center"/>
      <protection/>
    </xf>
    <xf numFmtId="0" fontId="8" fillId="0" borderId="0" xfId="38" applyFont="1">
      <alignment/>
      <protection/>
    </xf>
    <xf numFmtId="0" fontId="8" fillId="0" borderId="0" xfId="39" applyFont="1" applyBorder="1" applyAlignment="1">
      <alignment vertical="center"/>
      <protection/>
    </xf>
    <xf numFmtId="0" fontId="8" fillId="0" borderId="0" xfId="38" applyFont="1" applyBorder="1" applyAlignment="1">
      <alignment horizontal="center" vertical="center"/>
      <protection/>
    </xf>
    <xf numFmtId="49" fontId="8" fillId="0" borderId="0" xfId="38" applyNumberFormat="1" applyFont="1" applyBorder="1" applyAlignment="1">
      <alignment horizontal="left" vertical="center"/>
      <protection/>
    </xf>
    <xf numFmtId="165" fontId="8" fillId="0" borderId="0" xfId="38" applyNumberFormat="1" applyFont="1" applyBorder="1" applyAlignment="1">
      <alignment horizontal="left" vertical="center"/>
      <protection/>
    </xf>
    <xf numFmtId="165" fontId="8" fillId="0" borderId="0" xfId="37" applyNumberFormat="1" applyFont="1" applyBorder="1" applyAlignment="1" applyProtection="1">
      <alignment horizontal="right" vertical="center"/>
      <protection locked="0"/>
    </xf>
    <xf numFmtId="166" fontId="8" fillId="0" borderId="0" xfId="37" applyNumberFormat="1" applyFont="1" applyBorder="1" applyAlignment="1" applyProtection="1">
      <alignment horizontal="right" vertical="center"/>
      <protection locked="0"/>
    </xf>
    <xf numFmtId="0" fontId="8" fillId="0" borderId="0" xfId="38" applyFont="1" applyBorder="1" applyAlignment="1">
      <alignment horizontal="right" vertical="center"/>
      <protection/>
    </xf>
    <xf numFmtId="0" fontId="8" fillId="0" borderId="0" xfId="38" applyFont="1" applyBorder="1">
      <alignment/>
      <protection/>
    </xf>
    <xf numFmtId="49" fontId="8" fillId="0" borderId="0" xfId="38" applyNumberFormat="1" applyFont="1" applyBorder="1">
      <alignment/>
      <protection/>
    </xf>
    <xf numFmtId="167" fontId="8" fillId="0" borderId="0" xfId="38" applyNumberFormat="1" applyFont="1" applyBorder="1">
      <alignment/>
      <protection/>
    </xf>
    <xf numFmtId="166" fontId="8" fillId="0" borderId="0" xfId="38" applyNumberFormat="1" applyFont="1" applyBorder="1">
      <alignment/>
      <protection/>
    </xf>
    <xf numFmtId="49" fontId="9" fillId="0" borderId="0" xfId="39" applyNumberFormat="1" applyFont="1" applyBorder="1" applyAlignment="1">
      <alignment horizontal="left" vertical="center"/>
      <protection/>
    </xf>
    <xf numFmtId="49" fontId="10" fillId="0" borderId="0" xfId="39" applyNumberFormat="1" applyFont="1" applyBorder="1" applyAlignment="1">
      <alignment horizontal="left" vertical="center"/>
      <protection/>
    </xf>
    <xf numFmtId="165" fontId="9" fillId="0" borderId="0" xfId="39" applyNumberFormat="1" applyFont="1" applyBorder="1" applyAlignment="1">
      <alignment horizontal="left" vertical="center"/>
      <protection/>
    </xf>
    <xf numFmtId="165" fontId="9" fillId="0" borderId="0" xfId="39" applyNumberFormat="1" applyFont="1" applyBorder="1" applyAlignment="1">
      <alignment vertical="center"/>
      <protection/>
    </xf>
    <xf numFmtId="168" fontId="9" fillId="0" borderId="0" xfId="39" applyNumberFormat="1" applyFont="1" applyBorder="1" applyAlignment="1">
      <alignment vertical="center"/>
      <protection/>
    </xf>
    <xf numFmtId="0" fontId="10" fillId="0" borderId="0" xfId="39" applyFont="1" applyBorder="1" applyAlignment="1">
      <alignment horizontal="right" vertical="center"/>
      <protection/>
    </xf>
    <xf numFmtId="10" fontId="8" fillId="0" borderId="0" xfId="38" applyNumberFormat="1" applyFont="1" applyBorder="1" applyAlignment="1">
      <alignment horizontal="right" vertical="center"/>
      <protection/>
    </xf>
    <xf numFmtId="0" fontId="8" fillId="0" borderId="10" xfId="38" applyFont="1" applyBorder="1" applyAlignment="1">
      <alignment horizontal="center" vertical="center"/>
      <protection/>
    </xf>
    <xf numFmtId="49" fontId="8" fillId="0" borderId="10" xfId="38" applyNumberFormat="1" applyFont="1" applyBorder="1" applyAlignment="1">
      <alignment horizontal="left" vertical="center"/>
      <protection/>
    </xf>
    <xf numFmtId="165" fontId="8" fillId="0" borderId="10" xfId="38" applyNumberFormat="1" applyFont="1" applyBorder="1" applyAlignment="1">
      <alignment horizontal="left" vertical="center"/>
      <protection/>
    </xf>
    <xf numFmtId="0" fontId="8" fillId="0" borderId="10" xfId="38" applyFont="1" applyBorder="1" applyAlignment="1">
      <alignment horizontal="right" vertical="center"/>
      <protection/>
    </xf>
    <xf numFmtId="165" fontId="8" fillId="0" borderId="10" xfId="37" applyNumberFormat="1" applyFont="1" applyBorder="1" applyAlignment="1" applyProtection="1">
      <alignment horizontal="right" vertical="center"/>
      <protection locked="0"/>
    </xf>
    <xf numFmtId="0" fontId="11" fillId="0" borderId="0" xfId="38" applyFont="1" applyBorder="1" applyAlignment="1">
      <alignment horizontal="center" vertical="center"/>
      <protection/>
    </xf>
    <xf numFmtId="0" fontId="11" fillId="0" borderId="0" xfId="39" applyFont="1" applyBorder="1" applyAlignment="1">
      <alignment horizontal="left" vertical="center"/>
      <protection/>
    </xf>
    <xf numFmtId="165" fontId="11" fillId="0" borderId="0" xfId="38" applyNumberFormat="1" applyFont="1" applyBorder="1" applyAlignment="1">
      <alignment horizontal="left" vertical="center"/>
      <protection/>
    </xf>
    <xf numFmtId="0" fontId="11" fillId="0" borderId="0" xfId="38" applyFont="1" applyBorder="1" applyAlignment="1">
      <alignment horizontal="right" vertical="center"/>
      <protection/>
    </xf>
    <xf numFmtId="165" fontId="11" fillId="0" borderId="0" xfId="37" applyNumberFormat="1" applyFont="1" applyBorder="1" applyAlignment="1" applyProtection="1">
      <alignment horizontal="right" vertical="center"/>
      <protection locked="0"/>
    </xf>
    <xf numFmtId="2" fontId="8" fillId="0" borderId="0" xfId="38" applyNumberFormat="1" applyFont="1" applyBorder="1">
      <alignment/>
      <protection/>
    </xf>
    <xf numFmtId="169" fontId="8" fillId="0" borderId="0" xfId="38" applyNumberFormat="1" applyFont="1" applyBorder="1">
      <alignment/>
      <protection/>
    </xf>
    <xf numFmtId="10" fontId="8" fillId="0" borderId="10" xfId="38" applyNumberFormat="1" applyFont="1" applyBorder="1" applyAlignment="1">
      <alignment horizontal="right" vertical="center"/>
      <protection/>
    </xf>
    <xf numFmtId="0" fontId="12" fillId="0" borderId="0" xfId="0" applyFont="1" applyAlignment="1">
      <alignment/>
    </xf>
    <xf numFmtId="165" fontId="11" fillId="0" borderId="0" xfId="39" applyNumberFormat="1" applyFont="1" applyBorder="1" applyAlignment="1">
      <alignment horizontal="left" vertical="center"/>
      <protection/>
    </xf>
    <xf numFmtId="0" fontId="1" fillId="0" borderId="0" xfId="38" applyFont="1" applyBorder="1">
      <alignment/>
      <protection/>
    </xf>
    <xf numFmtId="49" fontId="1" fillId="0" borderId="0" xfId="38" applyNumberFormat="1" applyFont="1" applyBorder="1">
      <alignment/>
      <protection/>
    </xf>
    <xf numFmtId="2" fontId="1" fillId="0" borderId="0" xfId="38" applyNumberFormat="1" applyFont="1" applyBorder="1">
      <alignment/>
      <protection/>
    </xf>
    <xf numFmtId="167" fontId="1" fillId="0" borderId="0" xfId="38" applyNumberFormat="1" applyFont="1" applyBorder="1">
      <alignment/>
      <protection/>
    </xf>
    <xf numFmtId="169" fontId="1" fillId="0" borderId="0" xfId="38" applyNumberFormat="1" applyFont="1" applyBorder="1">
      <alignment/>
      <protection/>
    </xf>
    <xf numFmtId="0" fontId="15" fillId="0" borderId="11" xfId="0" applyFont="1" applyBorder="1" applyAlignment="1">
      <alignment horizontal="center" vertical="center" wrapText="1"/>
    </xf>
    <xf numFmtId="0" fontId="3" fillId="0" borderId="12" xfId="39" applyFont="1" applyBorder="1" applyAlignment="1">
      <alignment horizontal="center" vertical="center" wrapText="1"/>
      <protection/>
    </xf>
    <xf numFmtId="165" fontId="15" fillId="0" borderId="13" xfId="37" applyNumberFormat="1" applyFont="1" applyBorder="1" applyAlignment="1" applyProtection="1">
      <alignment horizontal="right" vertical="center" wrapText="1"/>
      <protection/>
    </xf>
    <xf numFmtId="0" fontId="15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165" fontId="15" fillId="0" borderId="0" xfId="0" applyNumberFormat="1" applyFont="1" applyBorder="1" applyAlignment="1">
      <alignment horizontal="left" vertical="center" wrapText="1"/>
    </xf>
    <xf numFmtId="165" fontId="15" fillId="0" borderId="0" xfId="37" applyNumberFormat="1" applyFont="1" applyBorder="1" applyAlignment="1" applyProtection="1">
      <alignment horizontal="right" vertical="center" wrapText="1"/>
      <protection/>
    </xf>
    <xf numFmtId="0" fontId="13" fillId="0" borderId="11" xfId="39" applyFont="1" applyBorder="1" applyAlignment="1">
      <alignment horizontal="left" vertical="center" wrapText="1"/>
      <protection/>
    </xf>
    <xf numFmtId="0" fontId="13" fillId="0" borderId="0" xfId="39" applyFont="1" applyBorder="1" applyAlignment="1">
      <alignment horizontal="left" vertical="center" wrapText="1"/>
      <protection/>
    </xf>
    <xf numFmtId="49" fontId="13" fillId="0" borderId="0" xfId="39" applyNumberFormat="1" applyFont="1" applyBorder="1" applyAlignment="1">
      <alignment horizontal="left" vertical="center" wrapText="1"/>
      <protection/>
    </xf>
    <xf numFmtId="165" fontId="13" fillId="0" borderId="0" xfId="39" applyNumberFormat="1" applyFont="1" applyBorder="1" applyAlignment="1">
      <alignment horizontal="left" vertical="center" wrapText="1"/>
      <protection/>
    </xf>
    <xf numFmtId="0" fontId="13" fillId="0" borderId="0" xfId="39" applyFont="1" applyBorder="1" applyAlignment="1">
      <alignment horizontal="center" vertical="center" wrapText="1"/>
      <protection/>
    </xf>
    <xf numFmtId="0" fontId="13" fillId="0" borderId="14" xfId="39" applyFont="1" applyBorder="1" applyAlignment="1">
      <alignment horizontal="center" vertical="center" wrapText="1"/>
      <protection/>
    </xf>
    <xf numFmtId="170" fontId="13" fillId="0" borderId="11" xfId="37" applyNumberFormat="1" applyFont="1" applyBorder="1" applyAlignment="1" applyProtection="1">
      <alignment horizontal="center" vertical="center" wrapText="1"/>
      <protection/>
    </xf>
    <xf numFmtId="170" fontId="13" fillId="0" borderId="13" xfId="37" applyNumberFormat="1" applyFont="1" applyBorder="1" applyAlignment="1" applyProtection="1">
      <alignment horizontal="center" vertical="center" wrapText="1"/>
      <protection/>
    </xf>
    <xf numFmtId="170" fontId="13" fillId="0" borderId="15" xfId="37" applyNumberFormat="1" applyFont="1" applyBorder="1" applyAlignment="1" applyProtection="1">
      <alignment horizontal="center" vertical="center" wrapText="1"/>
      <protection/>
    </xf>
    <xf numFmtId="170" fontId="13" fillId="0" borderId="14" xfId="37" applyNumberFormat="1" applyFont="1" applyBorder="1" applyAlignment="1" applyProtection="1">
      <alignment horizontal="center" vertical="center" wrapText="1"/>
      <protection/>
    </xf>
    <xf numFmtId="170" fontId="13" fillId="0" borderId="16" xfId="37" applyNumberFormat="1" applyFont="1" applyBorder="1" applyAlignment="1" applyProtection="1">
      <alignment horizontal="center" vertical="center" wrapText="1"/>
      <protection/>
    </xf>
    <xf numFmtId="0" fontId="14" fillId="0" borderId="17" xfId="39" applyFont="1" applyBorder="1" applyAlignment="1">
      <alignment horizontal="center" vertical="center" wrapText="1"/>
      <protection/>
    </xf>
    <xf numFmtId="49" fontId="14" fillId="0" borderId="17" xfId="39" applyNumberFormat="1" applyFont="1" applyBorder="1" applyAlignment="1">
      <alignment horizontal="center" vertical="center" wrapText="1"/>
      <protection/>
    </xf>
    <xf numFmtId="165" fontId="14" fillId="0" borderId="17" xfId="39" applyNumberFormat="1" applyFont="1" applyBorder="1" applyAlignment="1">
      <alignment horizontal="left" vertical="center" wrapText="1"/>
      <protection/>
    </xf>
    <xf numFmtId="0" fontId="14" fillId="0" borderId="17" xfId="39" applyFont="1" applyBorder="1" applyAlignment="1">
      <alignment horizontal="right" vertical="center" wrapText="1"/>
      <protection/>
    </xf>
    <xf numFmtId="164" fontId="14" fillId="0" borderId="17" xfId="37" applyFont="1" applyBorder="1" applyAlignment="1" applyProtection="1">
      <alignment horizontal="right" vertical="center" wrapText="1"/>
      <protection/>
    </xf>
    <xf numFmtId="164" fontId="19" fillId="0" borderId="17" xfId="37" applyFont="1" applyBorder="1" applyAlignment="1" applyProtection="1">
      <alignment horizontal="right" vertical="center" wrapText="1"/>
      <protection/>
    </xf>
    <xf numFmtId="165" fontId="14" fillId="0" borderId="17" xfId="37" applyNumberFormat="1" applyFont="1" applyBorder="1" applyAlignment="1" applyProtection="1">
      <alignment horizontal="right" vertical="center" wrapText="1"/>
      <protection/>
    </xf>
    <xf numFmtId="164" fontId="14" fillId="0" borderId="17" xfId="39" applyNumberFormat="1" applyFont="1" applyBorder="1" applyAlignment="1">
      <alignment vertical="center" wrapText="1"/>
      <protection/>
    </xf>
    <xf numFmtId="165" fontId="16" fillId="0" borderId="13" xfId="37" applyNumberFormat="1" applyFont="1" applyBorder="1" applyAlignment="1" applyProtection="1">
      <alignment vertical="center" wrapText="1"/>
      <protection/>
    </xf>
    <xf numFmtId="0" fontId="15" fillId="0" borderId="13" xfId="0" applyFont="1" applyBorder="1" applyAlignment="1">
      <alignment horizontal="right" vertical="center" wrapText="1"/>
    </xf>
    <xf numFmtId="0" fontId="12" fillId="0" borderId="18" xfId="36" applyFont="1" applyBorder="1" applyAlignment="1">
      <alignment vertical="center" wrapText="1"/>
      <protection/>
    </xf>
    <xf numFmtId="0" fontId="12" fillId="0" borderId="0" xfId="0" applyFont="1" applyAlignment="1">
      <alignment wrapText="1"/>
    </xf>
    <xf numFmtId="165" fontId="15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17" fillId="0" borderId="0" xfId="36" applyFont="1" applyAlignment="1">
      <alignment vertical="center"/>
      <protection/>
    </xf>
    <xf numFmtId="165" fontId="11" fillId="0" borderId="0" xfId="39" applyNumberFormat="1" applyFont="1" applyBorder="1" applyAlignment="1">
      <alignment horizontal="right" vertical="center"/>
      <protection/>
    </xf>
    <xf numFmtId="0" fontId="12" fillId="0" borderId="0" xfId="0" applyFont="1" applyAlignment="1">
      <alignment/>
    </xf>
    <xf numFmtId="0" fontId="15" fillId="0" borderId="1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right" vertical="center" wrapText="1"/>
    </xf>
    <xf numFmtId="165" fontId="15" fillId="0" borderId="0" xfId="37" applyNumberFormat="1" applyFont="1" applyFill="1" applyBorder="1" applyAlignment="1" applyProtection="1">
      <alignment horizontal="right" vertical="center" wrapText="1"/>
      <protection/>
    </xf>
    <xf numFmtId="165" fontId="15" fillId="0" borderId="13" xfId="37" applyNumberFormat="1" applyFont="1" applyFill="1" applyBorder="1" applyAlignment="1" applyProtection="1">
      <alignment horizontal="right" vertical="center" wrapText="1"/>
      <protection/>
    </xf>
    <xf numFmtId="165" fontId="16" fillId="0" borderId="13" xfId="37" applyNumberFormat="1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23" fillId="0" borderId="0" xfId="0" applyFont="1" applyBorder="1" applyAlignment="1">
      <alignment wrapText="1"/>
    </xf>
    <xf numFmtId="165" fontId="15" fillId="0" borderId="0" xfId="0" applyNumberFormat="1" applyFont="1" applyFill="1" applyBorder="1" applyAlignment="1">
      <alignment horizontal="left" vertical="center"/>
    </xf>
    <xf numFmtId="165" fontId="15" fillId="0" borderId="19" xfId="0" applyNumberFormat="1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wrapText="1"/>
    </xf>
    <xf numFmtId="165" fontId="12" fillId="0" borderId="0" xfId="0" applyNumberFormat="1" applyFont="1" applyAlignment="1">
      <alignment/>
    </xf>
    <xf numFmtId="0" fontId="12" fillId="0" borderId="0" xfId="0" applyFont="1" applyFill="1" applyAlignment="1">
      <alignment wrapText="1"/>
    </xf>
    <xf numFmtId="4" fontId="12" fillId="0" borderId="0" xfId="0" applyNumberFormat="1" applyFont="1" applyAlignment="1">
      <alignment/>
    </xf>
    <xf numFmtId="49" fontId="26" fillId="0" borderId="20" xfId="0" applyNumberFormat="1" applyFont="1" applyFill="1" applyBorder="1" applyAlignment="1" applyProtection="1">
      <alignment horizontal="left" vertical="center"/>
      <protection/>
    </xf>
    <xf numFmtId="49" fontId="26" fillId="0" borderId="21" xfId="0" applyNumberFormat="1" applyFont="1" applyFill="1" applyBorder="1" applyAlignment="1" applyProtection="1">
      <alignment horizontal="left" vertical="center"/>
      <protection/>
    </xf>
    <xf numFmtId="49" fontId="26" fillId="0" borderId="21" xfId="0" applyNumberFormat="1" applyFont="1" applyFill="1" applyBorder="1" applyAlignment="1" applyProtection="1">
      <alignment horizontal="center" vertical="center"/>
      <protection/>
    </xf>
    <xf numFmtId="49" fontId="26" fillId="0" borderId="22" xfId="0" applyNumberFormat="1" applyFont="1" applyFill="1" applyBorder="1" applyAlignment="1" applyProtection="1">
      <alignment horizontal="center" vertical="center"/>
      <protection/>
    </xf>
    <xf numFmtId="49" fontId="26" fillId="0" borderId="23" xfId="0" applyNumberFormat="1" applyFont="1" applyFill="1" applyBorder="1" applyAlignment="1" applyProtection="1">
      <alignment horizontal="center" vertical="center"/>
      <protection/>
    </xf>
    <xf numFmtId="49" fontId="25" fillId="0" borderId="24" xfId="0" applyNumberFormat="1" applyFont="1" applyFill="1" applyBorder="1" applyAlignment="1" applyProtection="1">
      <alignment horizontal="left" vertical="center"/>
      <protection/>
    </xf>
    <xf numFmtId="49" fontId="25" fillId="0" borderId="25" xfId="0" applyNumberFormat="1" applyFont="1" applyFill="1" applyBorder="1" applyAlignment="1" applyProtection="1">
      <alignment horizontal="left" vertical="center"/>
      <protection/>
    </xf>
    <xf numFmtId="49" fontId="26" fillId="0" borderId="25" xfId="0" applyNumberFormat="1" applyFont="1" applyFill="1" applyBorder="1" applyAlignment="1" applyProtection="1">
      <alignment horizontal="left" vertical="center"/>
      <protection/>
    </xf>
    <xf numFmtId="49" fontId="26" fillId="0" borderId="26" xfId="0" applyNumberFormat="1" applyFont="1" applyFill="1" applyBorder="1" applyAlignment="1" applyProtection="1">
      <alignment horizontal="right" vertical="center"/>
      <protection/>
    </xf>
    <xf numFmtId="49" fontId="26" fillId="0" borderId="27" xfId="0" applyNumberFormat="1" applyFont="1" applyFill="1" applyBorder="1" applyAlignment="1" applyProtection="1">
      <alignment horizontal="center" vertical="center"/>
      <protection/>
    </xf>
    <xf numFmtId="49" fontId="26" fillId="0" borderId="28" xfId="0" applyNumberFormat="1" applyFont="1" applyFill="1" applyBorder="1" applyAlignment="1" applyProtection="1">
      <alignment horizontal="center" vertical="center"/>
      <protection/>
    </xf>
    <xf numFmtId="49" fontId="26" fillId="0" borderId="29" xfId="0" applyNumberFormat="1" applyFont="1" applyFill="1" applyBorder="1" applyAlignment="1" applyProtection="1">
      <alignment horizontal="center" vertical="center"/>
      <protection/>
    </xf>
    <xf numFmtId="49" fontId="26" fillId="0" borderId="30" xfId="0" applyNumberFormat="1" applyFont="1" applyFill="1" applyBorder="1" applyAlignment="1" applyProtection="1">
      <alignment horizontal="center" vertical="center"/>
      <protection/>
    </xf>
    <xf numFmtId="49" fontId="27" fillId="33" borderId="31" xfId="0" applyNumberFormat="1" applyFont="1" applyFill="1" applyBorder="1" applyAlignment="1" applyProtection="1">
      <alignment horizontal="left" vertical="center"/>
      <protection/>
    </xf>
    <xf numFmtId="49" fontId="28" fillId="33" borderId="31" xfId="0" applyNumberFormat="1" applyFont="1" applyFill="1" applyBorder="1" applyAlignment="1" applyProtection="1">
      <alignment horizontal="left" vertical="center"/>
      <protection/>
    </xf>
    <xf numFmtId="4" fontId="28" fillId="33" borderId="31" xfId="0" applyNumberFormat="1" applyFont="1" applyFill="1" applyBorder="1" applyAlignment="1" applyProtection="1">
      <alignment horizontal="right" vertical="center"/>
      <protection/>
    </xf>
    <xf numFmtId="49" fontId="28" fillId="33" borderId="31" xfId="0" applyNumberFormat="1" applyFont="1" applyFill="1" applyBorder="1" applyAlignment="1" applyProtection="1">
      <alignment horizontal="right" vertical="center"/>
      <protection/>
    </xf>
    <xf numFmtId="49" fontId="29" fillId="0" borderId="0" xfId="0" applyNumberFormat="1" applyFont="1" applyFill="1" applyBorder="1" applyAlignment="1" applyProtection="1">
      <alignment horizontal="left" vertical="center"/>
      <protection/>
    </xf>
    <xf numFmtId="4" fontId="29" fillId="0" borderId="0" xfId="0" applyNumberFormat="1" applyFont="1" applyFill="1" applyBorder="1" applyAlignment="1" applyProtection="1">
      <alignment horizontal="right" vertical="center"/>
      <protection/>
    </xf>
    <xf numFmtId="49" fontId="29" fillId="0" borderId="0" xfId="0" applyNumberFormat="1" applyFont="1" applyFill="1" applyBorder="1" applyAlignment="1" applyProtection="1">
      <alignment horizontal="right" vertical="center"/>
      <protection/>
    </xf>
    <xf numFmtId="49" fontId="27" fillId="33" borderId="0" xfId="0" applyNumberFormat="1" applyFont="1" applyFill="1" applyBorder="1" applyAlignment="1" applyProtection="1">
      <alignment horizontal="left" vertical="center"/>
      <protection/>
    </xf>
    <xf numFmtId="49" fontId="28" fillId="33" borderId="0" xfId="0" applyNumberFormat="1" applyFont="1" applyFill="1" applyBorder="1" applyAlignment="1" applyProtection="1">
      <alignment horizontal="left" vertical="center"/>
      <protection/>
    </xf>
    <xf numFmtId="4" fontId="28" fillId="33" borderId="0" xfId="0" applyNumberFormat="1" applyFont="1" applyFill="1" applyBorder="1" applyAlignment="1" applyProtection="1">
      <alignment horizontal="right" vertical="center"/>
      <protection/>
    </xf>
    <xf numFmtId="49" fontId="28" fillId="33" borderId="0" xfId="0" applyNumberFormat="1" applyFont="1" applyFill="1" applyBorder="1" applyAlignment="1" applyProtection="1">
      <alignment horizontal="right" vertical="center"/>
      <protection/>
    </xf>
    <xf numFmtId="49" fontId="30" fillId="0" borderId="0" xfId="0" applyNumberFormat="1" applyFont="1" applyFill="1" applyBorder="1" applyAlignment="1" applyProtection="1">
      <alignment horizontal="left" vertical="center"/>
      <protection/>
    </xf>
    <xf numFmtId="4" fontId="30" fillId="0" borderId="0" xfId="0" applyNumberFormat="1" applyFont="1" applyFill="1" applyBorder="1" applyAlignment="1" applyProtection="1">
      <alignment horizontal="right" vertical="center"/>
      <protection/>
    </xf>
    <xf numFmtId="49" fontId="30" fillId="0" borderId="0" xfId="0" applyNumberFormat="1" applyFont="1" applyFill="1" applyBorder="1" applyAlignment="1" applyProtection="1">
      <alignment horizontal="right" vertical="center"/>
      <protection/>
    </xf>
    <xf numFmtId="49" fontId="30" fillId="0" borderId="32" xfId="0" applyNumberFormat="1" applyFont="1" applyFill="1" applyBorder="1" applyAlignment="1" applyProtection="1">
      <alignment horizontal="left" vertical="center"/>
      <protection/>
    </xf>
    <xf numFmtId="4" fontId="30" fillId="0" borderId="32" xfId="0" applyNumberFormat="1" applyFont="1" applyFill="1" applyBorder="1" applyAlignment="1" applyProtection="1">
      <alignment horizontal="right" vertical="center"/>
      <protection/>
    </xf>
    <xf numFmtId="49" fontId="30" fillId="0" borderId="32" xfId="0" applyNumberFormat="1" applyFont="1" applyFill="1" applyBorder="1" applyAlignment="1" applyProtection="1">
      <alignment horizontal="right" vertical="center"/>
      <protection/>
    </xf>
    <xf numFmtId="0" fontId="25" fillId="0" borderId="18" xfId="0" applyNumberFormat="1" applyFont="1" applyFill="1" applyBorder="1" applyAlignment="1" applyProtection="1">
      <alignment vertical="center"/>
      <protection/>
    </xf>
    <xf numFmtId="4" fontId="26" fillId="0" borderId="18" xfId="0" applyNumberFormat="1" applyFont="1" applyFill="1" applyBorder="1" applyAlignment="1" applyProtection="1">
      <alignment horizontal="right" vertical="center"/>
      <protection/>
    </xf>
    <xf numFmtId="49" fontId="31" fillId="0" borderId="0" xfId="0" applyNumberFormat="1" applyFont="1" applyFill="1" applyBorder="1" applyAlignment="1" applyProtection="1">
      <alignment horizontal="left" vertical="center"/>
      <protection/>
    </xf>
    <xf numFmtId="0" fontId="25" fillId="0" borderId="0" xfId="0" applyFont="1" applyAlignment="1">
      <alignment vertical="center"/>
    </xf>
    <xf numFmtId="0" fontId="25" fillId="0" borderId="11" xfId="0" applyNumberFormat="1" applyFont="1" applyFill="1" applyBorder="1" applyAlignment="1" applyProtection="1">
      <alignment vertical="center"/>
      <protection/>
    </xf>
    <xf numFmtId="0" fontId="25" fillId="0" borderId="33" xfId="0" applyNumberFormat="1" applyFont="1" applyFill="1" applyBorder="1" applyAlignment="1" applyProtection="1">
      <alignment vertical="center"/>
      <protection/>
    </xf>
    <xf numFmtId="4" fontId="25" fillId="0" borderId="0" xfId="0" applyNumberFormat="1" applyFont="1" applyFill="1" applyBorder="1" applyAlignment="1" applyProtection="1">
      <alignment horizontal="right" vertical="center"/>
      <protection/>
    </xf>
    <xf numFmtId="49" fontId="25" fillId="0" borderId="0" xfId="0" applyNumberFormat="1" applyFont="1" applyFill="1" applyBorder="1" applyAlignment="1" applyProtection="1">
      <alignment horizontal="right" vertical="center"/>
      <protection/>
    </xf>
    <xf numFmtId="4" fontId="26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32" xfId="39" applyFont="1" applyBorder="1" applyAlignment="1">
      <alignment horizontal="center" vertical="center"/>
      <protection/>
    </xf>
    <xf numFmtId="49" fontId="7" fillId="0" borderId="32" xfId="39" applyNumberFormat="1" applyFont="1" applyBorder="1" applyAlignment="1">
      <alignment horizontal="center" vertical="center"/>
      <protection/>
    </xf>
    <xf numFmtId="165" fontId="7" fillId="0" borderId="32" xfId="39" applyNumberFormat="1" applyFont="1" applyBorder="1" applyAlignment="1">
      <alignment horizontal="center" vertical="center"/>
      <protection/>
    </xf>
    <xf numFmtId="0" fontId="7" fillId="0" borderId="32" xfId="39" applyFont="1" applyBorder="1" applyAlignment="1">
      <alignment horizontal="right" vertical="center"/>
      <protection/>
    </xf>
    <xf numFmtId="49" fontId="8" fillId="0" borderId="0" xfId="54" applyNumberFormat="1" applyFont="1" applyFill="1" applyBorder="1" applyAlignment="1">
      <alignment horizontal="left" vertical="center"/>
      <protection/>
    </xf>
    <xf numFmtId="165" fontId="8" fillId="0" borderId="0" xfId="54" applyNumberFormat="1" applyFont="1" applyFill="1" applyBorder="1" applyAlignment="1">
      <alignment horizontal="left" vertical="center"/>
      <protection/>
    </xf>
    <xf numFmtId="0" fontId="8" fillId="0" borderId="0" xfId="54" applyFont="1" applyFill="1" applyBorder="1" applyAlignment="1">
      <alignment horizontal="right" vertical="center"/>
      <protection/>
    </xf>
    <xf numFmtId="9" fontId="8" fillId="0" borderId="0" xfId="54" applyNumberFormat="1" applyFont="1" applyFill="1" applyBorder="1" applyAlignment="1">
      <alignment horizontal="right" vertical="center"/>
      <protection/>
    </xf>
    <xf numFmtId="0" fontId="8" fillId="0" borderId="32" xfId="38" applyFont="1" applyBorder="1" applyAlignment="1">
      <alignment horizontal="center" vertical="center"/>
      <protection/>
    </xf>
    <xf numFmtId="49" fontId="8" fillId="0" borderId="32" xfId="38" applyNumberFormat="1" applyFont="1" applyBorder="1" applyAlignment="1">
      <alignment horizontal="left" vertical="center"/>
      <protection/>
    </xf>
    <xf numFmtId="165" fontId="8" fillId="0" borderId="32" xfId="38" applyNumberFormat="1" applyFont="1" applyBorder="1" applyAlignment="1">
      <alignment horizontal="left" vertical="center"/>
      <protection/>
    </xf>
    <xf numFmtId="10" fontId="8" fillId="0" borderId="32" xfId="38" applyNumberFormat="1" applyFont="1" applyBorder="1" applyAlignment="1">
      <alignment horizontal="right" vertical="center"/>
      <protection/>
    </xf>
    <xf numFmtId="165" fontId="8" fillId="0" borderId="32" xfId="37" applyNumberFormat="1" applyFont="1" applyBorder="1" applyAlignment="1" applyProtection="1">
      <alignment horizontal="right" vertical="center"/>
      <protection locked="0"/>
    </xf>
    <xf numFmtId="0" fontId="1" fillId="0" borderId="0" xfId="38" applyFont="1" applyBorder="1">
      <alignment/>
      <protection/>
    </xf>
    <xf numFmtId="49" fontId="1" fillId="0" borderId="0" xfId="38" applyNumberFormat="1" applyFont="1" applyBorder="1">
      <alignment/>
      <protection/>
    </xf>
    <xf numFmtId="2" fontId="1" fillId="0" borderId="0" xfId="38" applyNumberFormat="1" applyFont="1" applyBorder="1">
      <alignment/>
      <protection/>
    </xf>
    <xf numFmtId="167" fontId="1" fillId="0" borderId="0" xfId="38" applyNumberFormat="1" applyFont="1" applyBorder="1">
      <alignment/>
      <protection/>
    </xf>
    <xf numFmtId="169" fontId="1" fillId="0" borderId="0" xfId="38" applyNumberFormat="1" applyFont="1" applyBorder="1">
      <alignment/>
      <protection/>
    </xf>
    <xf numFmtId="49" fontId="30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39" applyFont="1" applyBorder="1" applyAlignment="1">
      <alignment vertical="center" wrapText="1"/>
      <protection/>
    </xf>
    <xf numFmtId="0" fontId="5" fillId="0" borderId="0" xfId="39" applyFont="1" applyBorder="1" applyAlignment="1">
      <alignment horizontal="center" vertical="center"/>
      <protection/>
    </xf>
    <xf numFmtId="49" fontId="24" fillId="0" borderId="32" xfId="0" applyNumberFormat="1" applyFont="1" applyFill="1" applyBorder="1" applyAlignment="1" applyProtection="1">
      <alignment horizontal="center"/>
      <protection/>
    </xf>
    <xf numFmtId="0" fontId="24" fillId="0" borderId="32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 applyProtection="1">
      <alignment horizontal="left" vertical="center" wrapText="1"/>
      <protection/>
    </xf>
    <xf numFmtId="0" fontId="25" fillId="0" borderId="18" xfId="0" applyNumberFormat="1" applyFont="1" applyFill="1" applyBorder="1" applyAlignment="1" applyProtection="1">
      <alignment horizontal="left" vertical="center"/>
      <protection/>
    </xf>
    <xf numFmtId="0" fontId="25" fillId="0" borderId="11" xfId="0" applyNumberFormat="1" applyFont="1" applyFill="1" applyBorder="1" applyAlignment="1" applyProtection="1">
      <alignment horizontal="left" vertical="center"/>
      <protection/>
    </xf>
    <xf numFmtId="0" fontId="25" fillId="0" borderId="0" xfId="0" applyNumberFormat="1" applyFont="1" applyFill="1" applyBorder="1" applyAlignment="1" applyProtection="1">
      <alignment horizontal="left" vertical="center"/>
      <protection/>
    </xf>
    <xf numFmtId="0" fontId="26" fillId="0" borderId="18" xfId="0" applyNumberFormat="1" applyFont="1" applyFill="1" applyBorder="1" applyAlignment="1" applyProtection="1">
      <alignment horizontal="left" vertical="center" wrapText="1"/>
      <protection/>
    </xf>
    <xf numFmtId="0" fontId="26" fillId="0" borderId="0" xfId="0" applyNumberFormat="1" applyFont="1" applyFill="1" applyBorder="1" applyAlignment="1" applyProtection="1">
      <alignment horizontal="left" vertical="center"/>
      <protection/>
    </xf>
    <xf numFmtId="49" fontId="25" fillId="0" borderId="18" xfId="0" applyNumberFormat="1" applyFont="1" applyFill="1" applyBorder="1" applyAlignment="1" applyProtection="1">
      <alignment horizontal="left" vertical="center"/>
      <protection/>
    </xf>
    <xf numFmtId="0" fontId="25" fillId="0" borderId="18" xfId="0" applyNumberFormat="1" applyFont="1" applyFill="1" applyBorder="1" applyAlignment="1" applyProtection="1">
      <alignment horizontal="left" vertical="center" wrapText="1"/>
      <protection/>
    </xf>
    <xf numFmtId="0" fontId="25" fillId="0" borderId="35" xfId="0" applyNumberFormat="1" applyFont="1" applyFill="1" applyBorder="1" applyAlignment="1" applyProtection="1">
      <alignment horizontal="left" vertical="center"/>
      <protection/>
    </xf>
    <xf numFmtId="0" fontId="25" fillId="0" borderId="13" xfId="0" applyNumberFormat="1" applyFont="1" applyFill="1" applyBorder="1" applyAlignment="1" applyProtection="1">
      <alignment horizontal="left" vertical="center"/>
      <protection/>
    </xf>
    <xf numFmtId="0" fontId="25" fillId="0" borderId="11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49" fontId="25" fillId="0" borderId="0" xfId="0" applyNumberFormat="1" applyFont="1" applyFill="1" applyBorder="1" applyAlignment="1" applyProtection="1">
      <alignment horizontal="left" vertical="center"/>
      <protection/>
    </xf>
    <xf numFmtId="14" fontId="25" fillId="0" borderId="0" xfId="0" applyNumberFormat="1" applyFont="1" applyFill="1" applyBorder="1" applyAlignment="1" applyProtection="1">
      <alignment horizontal="left" vertical="center"/>
      <protection/>
    </xf>
    <xf numFmtId="0" fontId="25" fillId="0" borderId="36" xfId="0" applyNumberFormat="1" applyFont="1" applyFill="1" applyBorder="1" applyAlignment="1" applyProtection="1">
      <alignment horizontal="left" vertical="center"/>
      <protection/>
    </xf>
    <xf numFmtId="0" fontId="25" fillId="0" borderId="37" xfId="0" applyNumberFormat="1" applyFont="1" applyFill="1" applyBorder="1" applyAlignment="1" applyProtection="1">
      <alignment horizontal="left" vertical="center"/>
      <protection/>
    </xf>
    <xf numFmtId="0" fontId="25" fillId="0" borderId="38" xfId="0" applyNumberFormat="1" applyFont="1" applyFill="1" applyBorder="1" applyAlignment="1" applyProtection="1">
      <alignment horizontal="left" vertical="center"/>
      <protection/>
    </xf>
    <xf numFmtId="49" fontId="26" fillId="0" borderId="39" xfId="0" applyNumberFormat="1" applyFont="1" applyFill="1" applyBorder="1" applyAlignment="1" applyProtection="1">
      <alignment horizontal="center" vertical="center"/>
      <protection/>
    </xf>
    <xf numFmtId="0" fontId="26" fillId="0" borderId="40" xfId="0" applyNumberFormat="1" applyFont="1" applyFill="1" applyBorder="1" applyAlignment="1" applyProtection="1">
      <alignment horizontal="center" vertical="center"/>
      <protection/>
    </xf>
    <xf numFmtId="0" fontId="26" fillId="0" borderId="41" xfId="0" applyNumberFormat="1" applyFont="1" applyFill="1" applyBorder="1" applyAlignment="1" applyProtection="1">
      <alignment horizontal="center" vertical="center"/>
      <protection/>
    </xf>
    <xf numFmtId="49" fontId="28" fillId="33" borderId="31" xfId="0" applyNumberFormat="1" applyFont="1" applyFill="1" applyBorder="1" applyAlignment="1" applyProtection="1">
      <alignment horizontal="left" vertical="center"/>
      <protection/>
    </xf>
    <xf numFmtId="0" fontId="28" fillId="33" borderId="31" xfId="0" applyNumberFormat="1" applyFont="1" applyFill="1" applyBorder="1" applyAlignment="1" applyProtection="1">
      <alignment horizontal="left" vertical="center"/>
      <protection/>
    </xf>
    <xf numFmtId="49" fontId="28" fillId="33" borderId="0" xfId="0" applyNumberFormat="1" applyFont="1" applyFill="1" applyBorder="1" applyAlignment="1" applyProtection="1">
      <alignment horizontal="left" vertical="center"/>
      <protection/>
    </xf>
    <xf numFmtId="0" fontId="28" fillId="33" borderId="0" xfId="0" applyNumberFormat="1" applyFont="1" applyFill="1" applyBorder="1" applyAlignment="1" applyProtection="1">
      <alignment horizontal="left" vertical="center"/>
      <protection/>
    </xf>
    <xf numFmtId="49" fontId="26" fillId="0" borderId="18" xfId="0" applyNumberFormat="1" applyFont="1" applyFill="1" applyBorder="1" applyAlignment="1" applyProtection="1">
      <alignment horizontal="left" vertical="center"/>
      <protection/>
    </xf>
    <xf numFmtId="0" fontId="26" fillId="0" borderId="18" xfId="0" applyNumberFormat="1" applyFont="1" applyFill="1" applyBorder="1" applyAlignment="1" applyProtection="1">
      <alignment horizontal="left" vertical="center"/>
      <protection/>
    </xf>
    <xf numFmtId="0" fontId="18" fillId="0" borderId="0" xfId="41" applyFont="1" applyFill="1" applyBorder="1" applyAlignment="1">
      <alignment horizontal="left" vertical="center" wrapText="1"/>
      <protection/>
    </xf>
    <xf numFmtId="0" fontId="5" fillId="0" borderId="0" xfId="39" applyFont="1" applyBorder="1" applyAlignment="1">
      <alignment horizontal="center" vertical="center" wrapText="1"/>
      <protection/>
    </xf>
    <xf numFmtId="0" fontId="3" fillId="0" borderId="34" xfId="39" applyFont="1" applyBorder="1" applyAlignment="1">
      <alignment horizontal="center" vertical="center" wrapText="1"/>
      <protection/>
    </xf>
    <xf numFmtId="0" fontId="3" fillId="0" borderId="18" xfId="39" applyFont="1" applyBorder="1" applyAlignment="1">
      <alignment horizontal="center" vertical="center" wrapText="1"/>
      <protection/>
    </xf>
    <xf numFmtId="0" fontId="3" fillId="0" borderId="35" xfId="39" applyFont="1" applyBorder="1" applyAlignment="1">
      <alignment horizontal="center" vertical="center" wrapText="1"/>
      <protection/>
    </xf>
    <xf numFmtId="0" fontId="3" fillId="0" borderId="42" xfId="39" applyFont="1" applyBorder="1" applyAlignment="1">
      <alignment horizontal="center" vertical="center" wrapText="1"/>
      <protection/>
    </xf>
    <xf numFmtId="0" fontId="3" fillId="0" borderId="43" xfId="39" applyFont="1" applyBorder="1" applyAlignment="1">
      <alignment horizontal="center" vertical="center" wrapText="1"/>
      <protection/>
    </xf>
    <xf numFmtId="0" fontId="3" fillId="0" borderId="44" xfId="39" applyFont="1" applyBorder="1" applyAlignment="1">
      <alignment horizontal="center" vertical="center" wrapText="1"/>
      <protection/>
    </xf>
  </cellXfs>
  <cellStyles count="6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Excel Built-in Excel Built-in Excel Built-in Excel Built-in Excel Built-in Excel Built-in Excel Built-in Excel Built-in Excel Built-in Excel Built-in Excel Built-in Normal" xfId="36"/>
    <cellStyle name="Excel Built-in Excel Built-in Excel Built-in Excel Built-in Excel Built-in Excel Built-in Excel Built-in Excel Built-in Excel Built-in Excel Built-in Excel Built-in měny 2" xfId="37"/>
    <cellStyle name="Excel Built-in Excel Built-in Excel Built-in Excel Built-in Excel Built-in Excel Built-in Excel Built-in Excel Built-in Excel Built-in Excel Built-in Excel Built-in Normal 2" xfId="38"/>
    <cellStyle name="Excel Built-in Excel Built-in Excel Built-in Excel Built-in Excel Built-in Excel Built-in Excel Built-in Excel Built-in Excel Built-in Excel Built-in Excel Built-in normální 2" xfId="39"/>
    <cellStyle name="Excel Built-in Excel Built-in Excel Built-in Excel Built-in Excel Built-in Excel Built-in Excel Built-in Normální 3" xfId="40"/>
    <cellStyle name="Excel Built-in Normal" xfId="41"/>
    <cellStyle name="Hyperlink" xfId="42"/>
    <cellStyle name="Chybně" xfId="43"/>
    <cellStyle name="Kontrolní buňka" xfId="44"/>
    <cellStyle name="Currency" xfId="45"/>
    <cellStyle name="měny 2" xfId="46"/>
    <cellStyle name="Currency [0]" xfId="47"/>
    <cellStyle name="Nadpis 1" xfId="48"/>
    <cellStyle name="Nadpis 2" xfId="49"/>
    <cellStyle name="Nadpis 3" xfId="50"/>
    <cellStyle name="Nadpis 4" xfId="51"/>
    <cellStyle name="Název" xfId="52"/>
    <cellStyle name="Neutrální" xfId="53"/>
    <cellStyle name="Normal 2" xfId="54"/>
    <cellStyle name="Normal 3" xfId="55"/>
    <cellStyle name="Normální 2" xfId="56"/>
    <cellStyle name="Normální 3" xfId="57"/>
    <cellStyle name="Followed Hyperlink" xfId="58"/>
    <cellStyle name="Poznámka" xfId="59"/>
    <cellStyle name="Percent" xfId="60"/>
    <cellStyle name="Propojená buňka" xfId="61"/>
    <cellStyle name="Správně" xfId="62"/>
    <cellStyle name="Text upozornění" xfId="63"/>
    <cellStyle name="Vstup" xfId="64"/>
    <cellStyle name="Výpočet" xfId="65"/>
    <cellStyle name="Výstup" xfId="66"/>
    <cellStyle name="Vysvětlující text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11C1A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819150</xdr:colOff>
      <xdr:row>0</xdr:row>
      <xdr:rowOff>38100</xdr:rowOff>
    </xdr:from>
    <xdr:to>
      <xdr:col>5</xdr:col>
      <xdr:colOff>9525</xdr:colOff>
      <xdr:row>2</xdr:row>
      <xdr:rowOff>257175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38100"/>
          <a:ext cx="21240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790575</xdr:colOff>
      <xdr:row>0</xdr:row>
      <xdr:rowOff>0</xdr:rowOff>
    </xdr:from>
    <xdr:to>
      <xdr:col>6</xdr:col>
      <xdr:colOff>0</xdr:colOff>
      <xdr:row>2</xdr:row>
      <xdr:rowOff>161925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21431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228600</xdr:colOff>
      <xdr:row>0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228600</xdr:colOff>
      <xdr:row>0</xdr:row>
      <xdr:rowOff>266700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790575</xdr:colOff>
      <xdr:row>0</xdr:row>
      <xdr:rowOff>0</xdr:rowOff>
    </xdr:from>
    <xdr:to>
      <xdr:col>6</xdr:col>
      <xdr:colOff>0</xdr:colOff>
      <xdr:row>2</xdr:row>
      <xdr:rowOff>161925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0"/>
          <a:ext cx="21431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E8" sqref="E8"/>
    </sheetView>
  </sheetViews>
  <sheetFormatPr defaultColWidth="10.7109375" defaultRowHeight="15"/>
  <cols>
    <col min="1" max="1" width="5.421875" style="1" customWidth="1"/>
    <col min="2" max="2" width="14.28125" style="1" customWidth="1"/>
    <col min="3" max="3" width="35.8515625" style="1" customWidth="1"/>
    <col min="4" max="4" width="17.140625" style="1" customWidth="1"/>
    <col min="5" max="5" width="26.8515625" style="1" customWidth="1"/>
    <col min="6" max="16384" width="10.7109375" style="1" customWidth="1"/>
  </cols>
  <sheetData>
    <row r="1" spans="1:9" s="5" customFormat="1" ht="23.25" customHeight="1">
      <c r="A1" s="164" t="s">
        <v>0</v>
      </c>
      <c r="B1" s="164"/>
      <c r="C1" s="3" t="s">
        <v>350</v>
      </c>
      <c r="D1" s="4"/>
      <c r="E1" s="4"/>
      <c r="F1" s="4"/>
      <c r="G1" s="4"/>
      <c r="H1" s="4"/>
      <c r="I1" s="4"/>
    </row>
    <row r="2" spans="1:9" s="8" customFormat="1" ht="23.25" customHeight="1">
      <c r="A2" s="164" t="s">
        <v>1</v>
      </c>
      <c r="B2" s="164"/>
      <c r="C2" s="6" t="s">
        <v>354</v>
      </c>
      <c r="D2" s="7"/>
      <c r="E2" s="7"/>
      <c r="F2" s="7"/>
      <c r="G2" s="7"/>
      <c r="H2" s="7"/>
      <c r="I2" s="7"/>
    </row>
    <row r="3" spans="1:9" s="8" customFormat="1" ht="23.25" customHeight="1">
      <c r="A3" s="164" t="s">
        <v>2</v>
      </c>
      <c r="B3" s="164"/>
      <c r="C3" s="6" t="s">
        <v>114</v>
      </c>
      <c r="D3" s="6" t="s">
        <v>351</v>
      </c>
      <c r="E3" s="9"/>
      <c r="F3" s="9"/>
      <c r="G3" s="7"/>
      <c r="H3" s="7"/>
      <c r="I3" s="7"/>
    </row>
    <row r="4" spans="1:9" s="8" customFormat="1" ht="23.25">
      <c r="A4" s="2"/>
      <c r="B4" s="7"/>
      <c r="C4" s="10"/>
      <c r="D4" s="7"/>
      <c r="E4" s="7"/>
      <c r="F4" s="7"/>
      <c r="G4" s="7"/>
      <c r="H4" s="7"/>
      <c r="I4" s="7"/>
    </row>
    <row r="5" spans="1:5" s="11" customFormat="1" ht="23.25">
      <c r="A5" s="165" t="s">
        <v>355</v>
      </c>
      <c r="B5" s="165"/>
      <c r="C5" s="165"/>
      <c r="D5" s="165"/>
      <c r="E5" s="165"/>
    </row>
    <row r="6" spans="1:6" s="17" customFormat="1" ht="15.75">
      <c r="A6" s="12" t="s">
        <v>3</v>
      </c>
      <c r="B6" s="13"/>
      <c r="C6" s="14"/>
      <c r="D6" s="12" t="s">
        <v>4</v>
      </c>
      <c r="E6" s="15" t="s">
        <v>5</v>
      </c>
      <c r="F6" s="16"/>
    </row>
    <row r="7" spans="1:6" s="23" customFormat="1" ht="15">
      <c r="A7" s="18">
        <v>1</v>
      </c>
      <c r="B7" s="19" t="s">
        <v>356</v>
      </c>
      <c r="C7" s="20"/>
      <c r="D7" s="21"/>
      <c r="E7" s="22">
        <f>'REKAPITULACE STAVBA'!F25</f>
        <v>0</v>
      </c>
      <c r="F7" s="16"/>
    </row>
    <row r="8" spans="1:6" s="23" customFormat="1" ht="15">
      <c r="A8" s="18">
        <v>2</v>
      </c>
      <c r="B8" s="19" t="s">
        <v>357</v>
      </c>
      <c r="C8" s="20"/>
      <c r="D8" s="21"/>
      <c r="E8" s="22">
        <f>'REKAPITULACE ROZVODY SKR ANN'!F25</f>
        <v>0</v>
      </c>
      <c r="F8" s="16"/>
    </row>
    <row r="9" spans="1:6" s="23" customFormat="1" ht="15">
      <c r="A9" s="18"/>
      <c r="B9" s="19"/>
      <c r="C9" s="20"/>
      <c r="D9" s="21"/>
      <c r="E9" s="22"/>
      <c r="F9" s="16"/>
    </row>
    <row r="10" spans="1:5" s="16" customFormat="1" ht="15">
      <c r="A10" s="24"/>
      <c r="B10" s="25"/>
      <c r="C10" s="25"/>
      <c r="D10" s="26"/>
      <c r="E10" s="27"/>
    </row>
    <row r="11" spans="1:5" s="33" customFormat="1" ht="20.25">
      <c r="A11" s="28" t="s">
        <v>6</v>
      </c>
      <c r="B11" s="29"/>
      <c r="C11" s="30"/>
      <c r="D11" s="31"/>
      <c r="E11" s="32">
        <f>SUM(E7:E8)</f>
        <v>0</v>
      </c>
    </row>
  </sheetData>
  <sheetProtection selectLockedCells="1" selectUnlockedCells="1"/>
  <mergeCells count="4">
    <mergeCell ref="A1:B1"/>
    <mergeCell ref="A2:B2"/>
    <mergeCell ref="A3:B3"/>
    <mergeCell ref="A5:E5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PageLayoutView="0" workbookViewId="0" topLeftCell="A1">
      <selection activeCell="F23" sqref="F23"/>
    </sheetView>
  </sheetViews>
  <sheetFormatPr defaultColWidth="10.421875" defaultRowHeight="12.75" customHeight="1"/>
  <cols>
    <col min="1" max="1" width="5.421875" style="48" customWidth="1"/>
    <col min="2" max="2" width="23.421875" style="48" bestFit="1" customWidth="1"/>
    <col min="3" max="3" width="27.421875" style="48" customWidth="1"/>
    <col min="4" max="4" width="13.7109375" style="48" customWidth="1"/>
    <col min="5" max="5" width="17.140625" style="48" customWidth="1"/>
    <col min="6" max="6" width="26.8515625" style="48" customWidth="1"/>
    <col min="7" max="8" width="10.421875" style="48" customWidth="1"/>
    <col min="9" max="9" width="14.7109375" style="48" bestFit="1" customWidth="1"/>
    <col min="10" max="16384" width="10.421875" style="48" customWidth="1"/>
  </cols>
  <sheetData>
    <row r="1" spans="1:6" ht="23.25" customHeight="1">
      <c r="A1" s="164" t="s">
        <v>0</v>
      </c>
      <c r="B1" s="164"/>
      <c r="C1" s="3" t="s">
        <v>368</v>
      </c>
      <c r="D1" s="4"/>
      <c r="E1" s="4"/>
      <c r="F1" s="4"/>
    </row>
    <row r="2" spans="1:6" ht="23.25" customHeight="1">
      <c r="A2" s="164" t="s">
        <v>1</v>
      </c>
      <c r="B2" s="164"/>
      <c r="C2" s="6" t="s">
        <v>369</v>
      </c>
      <c r="D2" s="7"/>
      <c r="E2" s="7"/>
      <c r="F2" s="7"/>
    </row>
    <row r="3" spans="1:6" ht="15" customHeight="1">
      <c r="A3" s="164" t="s">
        <v>2</v>
      </c>
      <c r="B3" s="164"/>
      <c r="C3" s="6" t="s">
        <v>114</v>
      </c>
      <c r="D3" s="2" t="s">
        <v>7</v>
      </c>
      <c r="E3" s="6" t="s">
        <v>370</v>
      </c>
      <c r="F3" s="9"/>
    </row>
    <row r="4" spans="1:6" ht="23.25" customHeight="1">
      <c r="A4" s="2"/>
      <c r="B4" s="7"/>
      <c r="C4" s="10"/>
      <c r="D4" s="2"/>
      <c r="E4" s="7"/>
      <c r="F4" s="7"/>
    </row>
    <row r="5" spans="1:6" ht="23.25" customHeight="1">
      <c r="A5" s="165" t="s">
        <v>371</v>
      </c>
      <c r="B5" s="165"/>
      <c r="C5" s="165"/>
      <c r="D5" s="165"/>
      <c r="E5" s="165"/>
      <c r="F5" s="165"/>
    </row>
    <row r="6" spans="1:6" ht="16.5" customHeight="1">
      <c r="A6" s="145" t="s">
        <v>3</v>
      </c>
      <c r="B6" s="146"/>
      <c r="C6" s="147"/>
      <c r="D6" s="148" t="s">
        <v>8</v>
      </c>
      <c r="E6" s="145" t="s">
        <v>4</v>
      </c>
      <c r="F6" s="148" t="s">
        <v>5</v>
      </c>
    </row>
    <row r="7" spans="1:6" ht="16.5" customHeight="1">
      <c r="A7" s="18">
        <v>1</v>
      </c>
      <c r="B7" s="149" t="s">
        <v>372</v>
      </c>
      <c r="C7" s="150"/>
      <c r="D7" s="151"/>
      <c r="E7" s="21"/>
      <c r="F7" s="21">
        <f>SUM(STAVBA!R12:R61)</f>
        <v>0</v>
      </c>
    </row>
    <row r="8" spans="1:6" ht="16.5" customHeight="1">
      <c r="A8" s="18">
        <f aca="true" t="shared" si="0" ref="A8:A13">A7+1</f>
        <v>2</v>
      </c>
      <c r="B8" s="149" t="s">
        <v>373</v>
      </c>
      <c r="C8" s="150"/>
      <c r="D8" s="152"/>
      <c r="E8" s="21"/>
      <c r="F8" s="21">
        <f>SUM(STAVBA!S12:S61)</f>
        <v>0</v>
      </c>
    </row>
    <row r="9" spans="1:6" ht="16.5" customHeight="1">
      <c r="A9" s="18">
        <f t="shared" si="0"/>
        <v>3</v>
      </c>
      <c r="B9" s="149" t="s">
        <v>374</v>
      </c>
      <c r="C9" s="150"/>
      <c r="D9" s="152"/>
      <c r="E9" s="21"/>
      <c r="F9" s="21">
        <f>SUM(STAVBA!T12:T61)</f>
        <v>0</v>
      </c>
    </row>
    <row r="10" spans="1:6" ht="16.5" customHeight="1">
      <c r="A10" s="18">
        <f t="shared" si="0"/>
        <v>4</v>
      </c>
      <c r="B10" s="19" t="s">
        <v>375</v>
      </c>
      <c r="C10" s="20"/>
      <c r="D10" s="23"/>
      <c r="E10" s="21"/>
      <c r="F10" s="21">
        <f>SUM(STAVBA!U12:U61)</f>
        <v>0</v>
      </c>
    </row>
    <row r="11" spans="1:6" ht="16.5" customHeight="1">
      <c r="A11" s="153">
        <f t="shared" si="0"/>
        <v>5</v>
      </c>
      <c r="B11" s="154" t="s">
        <v>300</v>
      </c>
      <c r="C11" s="155"/>
      <c r="D11" s="156"/>
      <c r="E11" s="157"/>
      <c r="F11" s="157">
        <f>SUM(STAVBA!X12:X61)</f>
        <v>0</v>
      </c>
    </row>
    <row r="12" spans="1:9" ht="16.5" customHeight="1">
      <c r="A12" s="18">
        <f t="shared" si="0"/>
        <v>6</v>
      </c>
      <c r="B12" s="19" t="s">
        <v>376</v>
      </c>
      <c r="C12" s="20"/>
      <c r="D12" s="34"/>
      <c r="E12" s="21"/>
      <c r="F12" s="21">
        <f>SUM(F7:F11)</f>
        <v>0</v>
      </c>
      <c r="I12" s="105"/>
    </row>
    <row r="13" spans="1:9" ht="16.5" customHeight="1">
      <c r="A13" s="18">
        <f t="shared" si="0"/>
        <v>7</v>
      </c>
      <c r="B13" s="19" t="s">
        <v>316</v>
      </c>
      <c r="C13" s="20"/>
      <c r="D13" s="34"/>
      <c r="E13" s="21"/>
      <c r="F13" s="21">
        <f>SUM(STAVBA!P12:P61)</f>
        <v>0</v>
      </c>
      <c r="I13" s="105"/>
    </row>
    <row r="14" spans="1:9" ht="16.5" customHeight="1">
      <c r="A14" s="153">
        <f>A13+1</f>
        <v>8</v>
      </c>
      <c r="B14" s="154" t="s">
        <v>28</v>
      </c>
      <c r="C14" s="155"/>
      <c r="D14" s="156"/>
      <c r="E14" s="157"/>
      <c r="F14" s="157">
        <f>STAVBA!J59</f>
        <v>0</v>
      </c>
      <c r="I14" s="105"/>
    </row>
    <row r="15" spans="1:6" ht="16.5" customHeight="1">
      <c r="A15" s="40">
        <f>A14+1</f>
        <v>9</v>
      </c>
      <c r="B15" s="41" t="s">
        <v>29</v>
      </c>
      <c r="C15" s="42"/>
      <c r="D15" s="43"/>
      <c r="E15" s="44"/>
      <c r="F15" s="44">
        <f>SUM(F12:F14)</f>
        <v>0</v>
      </c>
    </row>
    <row r="16" spans="1:6" ht="16.5" customHeight="1">
      <c r="A16" s="24"/>
      <c r="B16" s="25"/>
      <c r="C16" s="25"/>
      <c r="D16" s="45"/>
      <c r="E16" s="26"/>
      <c r="F16" s="46"/>
    </row>
    <row r="17" spans="1:6" ht="16.5" customHeight="1">
      <c r="A17" s="153">
        <f>A15+1</f>
        <v>10</v>
      </c>
      <c r="B17" s="154" t="s">
        <v>377</v>
      </c>
      <c r="C17" s="155"/>
      <c r="D17" s="156">
        <v>0.015</v>
      </c>
      <c r="E17" s="157">
        <f>F12</f>
        <v>0</v>
      </c>
      <c r="F17" s="157">
        <f>E17*D17</f>
        <v>0</v>
      </c>
    </row>
    <row r="18" spans="1:6" ht="16.5" customHeight="1">
      <c r="A18" s="40">
        <f>A17+1</f>
        <v>11</v>
      </c>
      <c r="B18" s="41" t="s">
        <v>31</v>
      </c>
      <c r="C18" s="42"/>
      <c r="D18" s="43"/>
      <c r="E18" s="44"/>
      <c r="F18" s="44">
        <f>F17</f>
        <v>0</v>
      </c>
    </row>
    <row r="19" spans="1:6" ht="16.5" customHeight="1">
      <c r="A19" s="24"/>
      <c r="B19" s="25"/>
      <c r="C19" s="25"/>
      <c r="D19" s="45"/>
      <c r="E19" s="26"/>
      <c r="F19" s="46"/>
    </row>
    <row r="20" spans="1:6" ht="16.5" customHeight="1">
      <c r="A20" s="18">
        <f>A18+1</f>
        <v>12</v>
      </c>
      <c r="B20" s="19" t="s">
        <v>32</v>
      </c>
      <c r="C20" s="20"/>
      <c r="D20" s="34"/>
      <c r="E20" s="21"/>
      <c r="F20" s="21">
        <v>0</v>
      </c>
    </row>
    <row r="21" spans="1:6" ht="16.5" customHeight="1">
      <c r="A21" s="18">
        <f>A20+1</f>
        <v>13</v>
      </c>
      <c r="B21" s="19" t="s">
        <v>378</v>
      </c>
      <c r="C21" s="20"/>
      <c r="D21" s="34"/>
      <c r="E21" s="21"/>
      <c r="F21" s="21">
        <v>0</v>
      </c>
    </row>
    <row r="22" spans="1:6" ht="16.5" customHeight="1">
      <c r="A22" s="153">
        <f>A21+1</f>
        <v>14</v>
      </c>
      <c r="B22" s="154" t="s">
        <v>9</v>
      </c>
      <c r="C22" s="155"/>
      <c r="D22" s="156"/>
      <c r="E22" s="157"/>
      <c r="F22" s="157">
        <v>0</v>
      </c>
    </row>
    <row r="23" spans="1:6" ht="16.5" customHeight="1">
      <c r="A23" s="40">
        <f>A22+1</f>
        <v>15</v>
      </c>
      <c r="B23" s="41" t="s">
        <v>34</v>
      </c>
      <c r="C23" s="42"/>
      <c r="D23" s="43"/>
      <c r="E23" s="44"/>
      <c r="F23" s="44">
        <f>SUM(F20:F22)</f>
        <v>0</v>
      </c>
    </row>
    <row r="24" spans="1:6" ht="15" customHeight="1">
      <c r="A24" s="158"/>
      <c r="B24" s="159"/>
      <c r="C24" s="159"/>
      <c r="D24" s="160"/>
      <c r="E24" s="161"/>
      <c r="F24" s="162"/>
    </row>
    <row r="25" spans="1:6" ht="21" customHeight="1">
      <c r="A25" s="28" t="s">
        <v>6</v>
      </c>
      <c r="B25" s="29"/>
      <c r="C25" s="30"/>
      <c r="D25" s="31"/>
      <c r="E25" s="31"/>
      <c r="F25" s="31">
        <f>F23+F18+F15</f>
        <v>0</v>
      </c>
    </row>
  </sheetData>
  <sheetProtection selectLockedCells="1" selectUnlockedCells="1"/>
  <mergeCells count="4">
    <mergeCell ref="A1:B1"/>
    <mergeCell ref="A2:B2"/>
    <mergeCell ref="A3:B3"/>
    <mergeCell ref="A5:F5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4"/>
  <sheetViews>
    <sheetView zoomScale="130" zoomScaleNormal="130" zoomScalePageLayoutView="0" workbookViewId="0" topLeftCell="A1">
      <pane ySplit="3" topLeftCell="A31" activePane="bottomLeft" state="frozen"/>
      <selection pane="topLeft" activeCell="A1" sqref="A1"/>
      <selection pane="bottomLeft" activeCell="D55" sqref="D55"/>
    </sheetView>
  </sheetViews>
  <sheetFormatPr defaultColWidth="11.421875" defaultRowHeight="15"/>
  <cols>
    <col min="1" max="1" width="3.7109375" style="139" customWidth="1"/>
    <col min="2" max="2" width="6.8515625" style="139" customWidth="1"/>
    <col min="3" max="3" width="13.28125" style="139" customWidth="1"/>
    <col min="4" max="4" width="55.7109375" style="139" customWidth="1"/>
    <col min="5" max="5" width="4.28125" style="139" customWidth="1"/>
    <col min="6" max="6" width="12.8515625" style="139" customWidth="1"/>
    <col min="7" max="7" width="12.00390625" style="139" customWidth="1"/>
    <col min="8" max="10" width="14.28125" style="139" customWidth="1"/>
    <col min="11" max="13" width="11.7109375" style="139" customWidth="1"/>
    <col min="14" max="14" width="11.421875" style="139" hidden="1" customWidth="1"/>
    <col min="15" max="47" width="12.140625" style="139" hidden="1" customWidth="1"/>
    <col min="48" max="16384" width="11.421875" style="139" customWidth="1"/>
  </cols>
  <sheetData>
    <row r="1" spans="1:13" ht="21" customHeight="1">
      <c r="A1" s="166" t="s">
        <v>160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14" ht="12.75" customHeight="1">
      <c r="A2" s="168" t="s">
        <v>161</v>
      </c>
      <c r="B2" s="169"/>
      <c r="C2" s="169"/>
      <c r="D2" s="172" t="s">
        <v>162</v>
      </c>
      <c r="E2" s="174" t="s">
        <v>163</v>
      </c>
      <c r="F2" s="169"/>
      <c r="G2" s="174"/>
      <c r="H2" s="169"/>
      <c r="I2" s="175" t="s">
        <v>164</v>
      </c>
      <c r="J2" s="175"/>
      <c r="K2" s="169"/>
      <c r="L2" s="169"/>
      <c r="M2" s="176"/>
      <c r="N2" s="140"/>
    </row>
    <row r="3" spans="1:14" ht="12.75">
      <c r="A3" s="170"/>
      <c r="B3" s="171"/>
      <c r="C3" s="171"/>
      <c r="D3" s="173"/>
      <c r="E3" s="171"/>
      <c r="F3" s="171"/>
      <c r="G3" s="171"/>
      <c r="H3" s="171"/>
      <c r="I3" s="171"/>
      <c r="J3" s="171"/>
      <c r="K3" s="171"/>
      <c r="L3" s="171"/>
      <c r="M3" s="177"/>
      <c r="N3" s="140"/>
    </row>
    <row r="4" spans="1:14" ht="12.75" customHeight="1">
      <c r="A4" s="178" t="s">
        <v>165</v>
      </c>
      <c r="B4" s="171"/>
      <c r="C4" s="171"/>
      <c r="D4" s="179"/>
      <c r="E4" s="180" t="s">
        <v>166</v>
      </c>
      <c r="F4" s="171"/>
      <c r="G4" s="181"/>
      <c r="H4" s="171"/>
      <c r="I4" s="179" t="s">
        <v>167</v>
      </c>
      <c r="J4" s="179"/>
      <c r="K4" s="171"/>
      <c r="L4" s="171"/>
      <c r="M4" s="177"/>
      <c r="N4" s="140"/>
    </row>
    <row r="5" spans="1:14" ht="12.75">
      <c r="A5" s="170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7"/>
      <c r="N5" s="140"/>
    </row>
    <row r="6" spans="1:14" ht="12.75" customHeight="1">
      <c r="A6" s="178" t="s">
        <v>168</v>
      </c>
      <c r="B6" s="171"/>
      <c r="C6" s="171"/>
      <c r="D6" s="179"/>
      <c r="E6" s="180" t="s">
        <v>169</v>
      </c>
      <c r="F6" s="171"/>
      <c r="G6" s="171"/>
      <c r="H6" s="171"/>
      <c r="I6" s="179" t="s">
        <v>170</v>
      </c>
      <c r="J6" s="179"/>
      <c r="K6" s="171"/>
      <c r="L6" s="171"/>
      <c r="M6" s="177"/>
      <c r="N6" s="140"/>
    </row>
    <row r="7" spans="1:14" ht="12.75" collapsed="1">
      <c r="A7" s="170"/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7"/>
      <c r="N7" s="140"/>
    </row>
    <row r="8" spans="1:14" ht="12.75" customHeight="1">
      <c r="A8" s="178" t="s">
        <v>171</v>
      </c>
      <c r="B8" s="171"/>
      <c r="C8" s="171"/>
      <c r="D8" s="179"/>
      <c r="E8" s="180" t="s">
        <v>172</v>
      </c>
      <c r="F8" s="171"/>
      <c r="G8" s="181">
        <v>42167</v>
      </c>
      <c r="H8" s="171"/>
      <c r="I8" s="179" t="s">
        <v>173</v>
      </c>
      <c r="J8" s="179"/>
      <c r="K8" s="171"/>
      <c r="L8" s="171"/>
      <c r="M8" s="177"/>
      <c r="N8" s="140"/>
    </row>
    <row r="9" spans="1:14" ht="13.5" thickBot="1">
      <c r="A9" s="182"/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4"/>
      <c r="N9" s="140"/>
    </row>
    <row r="10" spans="1:14" ht="12.75">
      <c r="A10" s="106" t="s">
        <v>174</v>
      </c>
      <c r="B10" s="107" t="s">
        <v>175</v>
      </c>
      <c r="C10" s="107" t="s">
        <v>176</v>
      </c>
      <c r="D10" s="107" t="s">
        <v>177</v>
      </c>
      <c r="E10" s="107" t="s">
        <v>178</v>
      </c>
      <c r="F10" s="108" t="s">
        <v>179</v>
      </c>
      <c r="G10" s="109" t="s">
        <v>180</v>
      </c>
      <c r="H10" s="185" t="s">
        <v>181</v>
      </c>
      <c r="I10" s="186"/>
      <c r="J10" s="187"/>
      <c r="K10" s="185" t="s">
        <v>182</v>
      </c>
      <c r="L10" s="187"/>
      <c r="M10" s="110" t="s">
        <v>183</v>
      </c>
      <c r="N10" s="141"/>
    </row>
    <row r="11" spans="1:24" ht="13.5" thickBot="1">
      <c r="A11" s="111" t="s">
        <v>184</v>
      </c>
      <c r="B11" s="112" t="s">
        <v>184</v>
      </c>
      <c r="C11" s="112" t="s">
        <v>184</v>
      </c>
      <c r="D11" s="113" t="s">
        <v>185</v>
      </c>
      <c r="E11" s="112" t="s">
        <v>184</v>
      </c>
      <c r="F11" s="112" t="s">
        <v>184</v>
      </c>
      <c r="G11" s="114" t="s">
        <v>186</v>
      </c>
      <c r="H11" s="115" t="s">
        <v>187</v>
      </c>
      <c r="I11" s="116" t="s">
        <v>188</v>
      </c>
      <c r="J11" s="117" t="s">
        <v>18</v>
      </c>
      <c r="K11" s="115" t="s">
        <v>180</v>
      </c>
      <c r="L11" s="117" t="s">
        <v>18</v>
      </c>
      <c r="M11" s="118" t="s">
        <v>189</v>
      </c>
      <c r="N11" s="141"/>
      <c r="P11" s="129" t="s">
        <v>316</v>
      </c>
      <c r="Q11" s="129" t="s">
        <v>317</v>
      </c>
      <c r="R11" s="129" t="s">
        <v>318</v>
      </c>
      <c r="S11" s="129" t="s">
        <v>319</v>
      </c>
      <c r="T11" s="129" t="s">
        <v>320</v>
      </c>
      <c r="U11" s="129" t="s">
        <v>321</v>
      </c>
      <c r="V11" s="129" t="s">
        <v>322</v>
      </c>
      <c r="W11" s="129" t="s">
        <v>323</v>
      </c>
      <c r="X11" s="129" t="s">
        <v>324</v>
      </c>
    </row>
    <row r="12" spans="1:37" ht="12.75">
      <c r="A12" s="119"/>
      <c r="B12" s="120"/>
      <c r="C12" s="120" t="s">
        <v>190</v>
      </c>
      <c r="D12" s="188" t="s">
        <v>191</v>
      </c>
      <c r="E12" s="189"/>
      <c r="F12" s="189"/>
      <c r="G12" s="189"/>
      <c r="H12" s="121">
        <f>SUM(H13:H14)</f>
        <v>0</v>
      </c>
      <c r="I12" s="121">
        <f>SUM(I13:I14)</f>
        <v>0</v>
      </c>
      <c r="J12" s="121">
        <f>H12+I12</f>
        <v>0</v>
      </c>
      <c r="K12" s="122"/>
      <c r="L12" s="121">
        <f>SUM(L13:L14)</f>
        <v>1.1840019999999998</v>
      </c>
      <c r="M12" s="122"/>
      <c r="P12" s="128">
        <f>IF(Q12="PR",J12,SUM(O13:O14))</f>
        <v>0</v>
      </c>
      <c r="Q12" s="129" t="s">
        <v>325</v>
      </c>
      <c r="R12" s="128">
        <f>IF(Q12="HS",H12,0)</f>
        <v>0</v>
      </c>
      <c r="S12" s="128">
        <f>IF(Q12="HS",I12-P12,0)</f>
        <v>0</v>
      </c>
      <c r="T12" s="128">
        <f>IF(Q12="PS",H12,0)</f>
        <v>0</v>
      </c>
      <c r="U12" s="128">
        <f>IF(Q12="PS",I12-P12,0)</f>
        <v>0</v>
      </c>
      <c r="V12" s="128">
        <f>IF(Q12="MP",H12,0)</f>
        <v>0</v>
      </c>
      <c r="W12" s="128">
        <f>IF(Q12="MP",I12-P12,0)</f>
        <v>0</v>
      </c>
      <c r="X12" s="128">
        <f>IF(Q12="OM",H12,0)</f>
        <v>0</v>
      </c>
      <c r="Y12" s="129"/>
      <c r="AI12" s="128">
        <f>SUM(Z13:Z14)</f>
        <v>0</v>
      </c>
      <c r="AJ12" s="128">
        <f>SUM(AA13:AA14)</f>
        <v>0</v>
      </c>
      <c r="AK12" s="128">
        <f>SUM(AB13:AB14)</f>
        <v>0</v>
      </c>
    </row>
    <row r="13" spans="1:43" ht="12.75" collapsed="1">
      <c r="A13" s="123" t="s">
        <v>192</v>
      </c>
      <c r="B13" s="123"/>
      <c r="C13" s="123" t="s">
        <v>193</v>
      </c>
      <c r="D13" s="123" t="s">
        <v>194</v>
      </c>
      <c r="E13" s="123" t="s">
        <v>83</v>
      </c>
      <c r="F13" s="124">
        <v>7.7</v>
      </c>
      <c r="G13" s="124">
        <v>0</v>
      </c>
      <c r="H13" s="124">
        <f>ROUND(F13*AE13,2)</f>
        <v>0</v>
      </c>
      <c r="I13" s="124">
        <f>J13-H13</f>
        <v>0</v>
      </c>
      <c r="J13" s="124">
        <f>ROUND(F13*G13,2)</f>
        <v>0</v>
      </c>
      <c r="K13" s="124">
        <v>0.12521</v>
      </c>
      <c r="L13" s="124">
        <f>F13*K13</f>
        <v>0.9641169999999999</v>
      </c>
      <c r="M13" s="125" t="s">
        <v>195</v>
      </c>
      <c r="N13" s="125" t="s">
        <v>192</v>
      </c>
      <c r="O13" s="124">
        <f>IF(N13="5",I13,0)</f>
        <v>0</v>
      </c>
      <c r="Z13" s="124">
        <f>IF(AD13=0,J13,0)</f>
        <v>0</v>
      </c>
      <c r="AA13" s="124">
        <f>IF(AD13=15,J13,0)</f>
        <v>0</v>
      </c>
      <c r="AB13" s="124">
        <f>IF(AD13=21,J13,0)</f>
        <v>0</v>
      </c>
      <c r="AD13" s="142">
        <v>21</v>
      </c>
      <c r="AE13" s="142">
        <f>G13*0.645346534653465</f>
        <v>0</v>
      </c>
      <c r="AF13" s="142">
        <f>G13*(1-0.645346534653465)</f>
        <v>0</v>
      </c>
      <c r="AM13" s="142">
        <f>F13*AE13</f>
        <v>0</v>
      </c>
      <c r="AN13" s="142">
        <f>F13*AF13</f>
        <v>0</v>
      </c>
      <c r="AO13" s="143" t="s">
        <v>326</v>
      </c>
      <c r="AP13" s="143" t="s">
        <v>327</v>
      </c>
      <c r="AQ13" s="129" t="s">
        <v>328</v>
      </c>
    </row>
    <row r="14" spans="1:43" ht="12.75">
      <c r="A14" s="123" t="s">
        <v>196</v>
      </c>
      <c r="B14" s="123"/>
      <c r="C14" s="123" t="s">
        <v>197</v>
      </c>
      <c r="D14" s="123" t="s">
        <v>198</v>
      </c>
      <c r="E14" s="123" t="s">
        <v>83</v>
      </c>
      <c r="F14" s="124">
        <v>13.7</v>
      </c>
      <c r="G14" s="124">
        <v>0</v>
      </c>
      <c r="H14" s="124">
        <f>ROUND(F14*AE14,2)</f>
        <v>0</v>
      </c>
      <c r="I14" s="124">
        <f>J14-H14</f>
        <v>0</v>
      </c>
      <c r="J14" s="124">
        <f>ROUND(F14*G14,2)</f>
        <v>0</v>
      </c>
      <c r="K14" s="124">
        <v>0.01605</v>
      </c>
      <c r="L14" s="124">
        <f>F14*K14</f>
        <v>0.21988499999999997</v>
      </c>
      <c r="M14" s="125" t="s">
        <v>195</v>
      </c>
      <c r="N14" s="125" t="s">
        <v>192</v>
      </c>
      <c r="O14" s="124">
        <f>IF(N14="5",I14,0)</f>
        <v>0</v>
      </c>
      <c r="Z14" s="124">
        <f>IF(AD14=0,J14,0)</f>
        <v>0</v>
      </c>
      <c r="AA14" s="124">
        <f>IF(AD14=15,J14,0)</f>
        <v>0</v>
      </c>
      <c r="AB14" s="124">
        <f>IF(AD14=21,J14,0)</f>
        <v>0</v>
      </c>
      <c r="AD14" s="142">
        <v>21</v>
      </c>
      <c r="AE14" s="142">
        <f>G14*0.537831325301205</f>
        <v>0</v>
      </c>
      <c r="AF14" s="142">
        <f>G14*(1-0.537831325301205)</f>
        <v>0</v>
      </c>
      <c r="AM14" s="142">
        <f>F14*AE14</f>
        <v>0</v>
      </c>
      <c r="AN14" s="142">
        <f>F14*AF14</f>
        <v>0</v>
      </c>
      <c r="AO14" s="143" t="s">
        <v>326</v>
      </c>
      <c r="AP14" s="143" t="s">
        <v>327</v>
      </c>
      <c r="AQ14" s="129" t="s">
        <v>328</v>
      </c>
    </row>
    <row r="15" spans="1:37" ht="12.75">
      <c r="A15" s="126"/>
      <c r="B15" s="127"/>
      <c r="C15" s="127" t="s">
        <v>199</v>
      </c>
      <c r="D15" s="190" t="s">
        <v>200</v>
      </c>
      <c r="E15" s="191"/>
      <c r="F15" s="191"/>
      <c r="G15" s="191"/>
      <c r="H15" s="128">
        <f>SUM(H16:H17)</f>
        <v>0</v>
      </c>
      <c r="I15" s="128">
        <f>SUM(I16:I17)</f>
        <v>0</v>
      </c>
      <c r="J15" s="128">
        <f>H15+I15</f>
        <v>0</v>
      </c>
      <c r="K15" s="129"/>
      <c r="L15" s="128">
        <f>SUM(L16:L17)</f>
        <v>0.8717956000000001</v>
      </c>
      <c r="M15" s="129"/>
      <c r="P15" s="128">
        <f>IF(Q15="PR",J15,SUM(O16:O17))</f>
        <v>0</v>
      </c>
      <c r="Q15" s="129" t="s">
        <v>325</v>
      </c>
      <c r="R15" s="128">
        <f>IF(Q15="HS",H15,0)</f>
        <v>0</v>
      </c>
      <c r="S15" s="128">
        <f>IF(Q15="HS",I15-P15,0)</f>
        <v>0</v>
      </c>
      <c r="T15" s="128">
        <f>IF(Q15="PS",H15,0)</f>
        <v>0</v>
      </c>
      <c r="U15" s="128">
        <f>IF(Q15="PS",I15-P15,0)</f>
        <v>0</v>
      </c>
      <c r="V15" s="128">
        <f>IF(Q15="MP",H15,0)</f>
        <v>0</v>
      </c>
      <c r="W15" s="128">
        <f>IF(Q15="MP",I15-P15,0)</f>
        <v>0</v>
      </c>
      <c r="X15" s="128">
        <f>IF(Q15="OM",H15,0)</f>
        <v>0</v>
      </c>
      <c r="Y15" s="129"/>
      <c r="AI15" s="128">
        <f>SUM(Z16:Z17)</f>
        <v>0</v>
      </c>
      <c r="AJ15" s="128">
        <f>SUM(AA16:AA17)</f>
        <v>0</v>
      </c>
      <c r="AK15" s="128">
        <f>SUM(AB16:AB17)</f>
        <v>0</v>
      </c>
    </row>
    <row r="16" spans="1:43" ht="12.75">
      <c r="A16" s="123" t="s">
        <v>201</v>
      </c>
      <c r="B16" s="123"/>
      <c r="C16" s="123" t="s">
        <v>202</v>
      </c>
      <c r="D16" s="123" t="s">
        <v>203</v>
      </c>
      <c r="E16" s="123" t="s">
        <v>19</v>
      </c>
      <c r="F16" s="124">
        <v>9.2</v>
      </c>
      <c r="G16" s="124">
        <v>0</v>
      </c>
      <c r="H16" s="124">
        <f>ROUND(F16*AE16,2)</f>
        <v>0</v>
      </c>
      <c r="I16" s="124">
        <f>J16-H16</f>
        <v>0</v>
      </c>
      <c r="J16" s="124">
        <f>ROUND(F16*G16,2)</f>
        <v>0</v>
      </c>
      <c r="K16" s="124">
        <v>0.00431</v>
      </c>
      <c r="L16" s="124">
        <f>F16*K16</f>
        <v>0.03965199999999999</v>
      </c>
      <c r="M16" s="125" t="s">
        <v>195</v>
      </c>
      <c r="N16" s="125" t="s">
        <v>192</v>
      </c>
      <c r="O16" s="124">
        <f>IF(N16="5",I16,0)</f>
        <v>0</v>
      </c>
      <c r="Z16" s="124">
        <f>IF(AD16=0,J16,0)</f>
        <v>0</v>
      </c>
      <c r="AA16" s="124">
        <f>IF(AD16=15,J16,0)</f>
        <v>0</v>
      </c>
      <c r="AB16" s="124">
        <f>IF(AD16=21,J16,0)</f>
        <v>0</v>
      </c>
      <c r="AD16" s="142">
        <v>21</v>
      </c>
      <c r="AE16" s="142">
        <f>G16*0.0697451619084116</f>
        <v>0</v>
      </c>
      <c r="AF16" s="142">
        <f>G16*(1-0.0697451619084116)</f>
        <v>0</v>
      </c>
      <c r="AM16" s="142">
        <f>F16*AE16</f>
        <v>0</v>
      </c>
      <c r="AN16" s="142">
        <f>F16*AF16</f>
        <v>0</v>
      </c>
      <c r="AO16" s="143" t="s">
        <v>329</v>
      </c>
      <c r="AP16" s="143" t="s">
        <v>330</v>
      </c>
      <c r="AQ16" s="129" t="s">
        <v>328</v>
      </c>
    </row>
    <row r="17" spans="1:43" ht="12.75">
      <c r="A17" s="123" t="s">
        <v>204</v>
      </c>
      <c r="B17" s="123"/>
      <c r="C17" s="123" t="s">
        <v>205</v>
      </c>
      <c r="D17" s="123" t="s">
        <v>206</v>
      </c>
      <c r="E17" s="123" t="s">
        <v>83</v>
      </c>
      <c r="F17" s="124">
        <v>17.46</v>
      </c>
      <c r="G17" s="124">
        <v>0</v>
      </c>
      <c r="H17" s="124">
        <f>ROUND(F17*AE17,2)</f>
        <v>0</v>
      </c>
      <c r="I17" s="124">
        <f>J17-H17</f>
        <v>0</v>
      </c>
      <c r="J17" s="124">
        <f>ROUND(F17*G17,2)</f>
        <v>0</v>
      </c>
      <c r="K17" s="124">
        <v>0.04766</v>
      </c>
      <c r="L17" s="124">
        <f>F17*K17</f>
        <v>0.8321436000000001</v>
      </c>
      <c r="M17" s="125" t="s">
        <v>195</v>
      </c>
      <c r="N17" s="125" t="s">
        <v>192</v>
      </c>
      <c r="O17" s="124">
        <f>IF(N17="5",I17,0)</f>
        <v>0</v>
      </c>
      <c r="Z17" s="124">
        <f>IF(AD17=0,J17,0)</f>
        <v>0</v>
      </c>
      <c r="AA17" s="124">
        <f>IF(AD17=15,J17,0)</f>
        <v>0</v>
      </c>
      <c r="AB17" s="124">
        <f>IF(AD17=21,J17,0)</f>
        <v>0</v>
      </c>
      <c r="AD17" s="142">
        <v>21</v>
      </c>
      <c r="AE17" s="142">
        <f>G17*0.168022388059701</f>
        <v>0</v>
      </c>
      <c r="AF17" s="142">
        <f>G17*(1-0.168022388059701)</f>
        <v>0</v>
      </c>
      <c r="AM17" s="142">
        <f>F17*AE17</f>
        <v>0</v>
      </c>
      <c r="AN17" s="142">
        <f>F17*AF17</f>
        <v>0</v>
      </c>
      <c r="AO17" s="143" t="s">
        <v>329</v>
      </c>
      <c r="AP17" s="143" t="s">
        <v>330</v>
      </c>
      <c r="AQ17" s="129" t="s">
        <v>328</v>
      </c>
    </row>
    <row r="18" spans="1:37" ht="12.75">
      <c r="A18" s="126"/>
      <c r="B18" s="127"/>
      <c r="C18" s="127" t="s">
        <v>207</v>
      </c>
      <c r="D18" s="190" t="s">
        <v>208</v>
      </c>
      <c r="E18" s="191"/>
      <c r="F18" s="191"/>
      <c r="G18" s="191"/>
      <c r="H18" s="128">
        <f>SUM(H19:H19)</f>
        <v>0</v>
      </c>
      <c r="I18" s="128">
        <f>SUM(I19:I19)</f>
        <v>0</v>
      </c>
      <c r="J18" s="128">
        <f>H18+I18</f>
        <v>0</v>
      </c>
      <c r="K18" s="129"/>
      <c r="L18" s="128">
        <f>SUM(L19:L19)</f>
        <v>0.04128</v>
      </c>
      <c r="M18" s="129"/>
      <c r="P18" s="128">
        <f>IF(Q18="PR",J18,SUM(O19:O19))</f>
        <v>0</v>
      </c>
      <c r="Q18" s="129" t="s">
        <v>325</v>
      </c>
      <c r="R18" s="128">
        <f>IF(Q18="HS",H18,0)</f>
        <v>0</v>
      </c>
      <c r="S18" s="128">
        <f>IF(Q18="HS",I18-P18,0)</f>
        <v>0</v>
      </c>
      <c r="T18" s="128">
        <f>IF(Q18="PS",H18,0)</f>
        <v>0</v>
      </c>
      <c r="U18" s="128">
        <f>IF(Q18="PS",I18-P18,0)</f>
        <v>0</v>
      </c>
      <c r="V18" s="128">
        <f>IF(Q18="MP",H18,0)</f>
        <v>0</v>
      </c>
      <c r="W18" s="128">
        <f>IF(Q18="MP",I18-P18,0)</f>
        <v>0</v>
      </c>
      <c r="X18" s="128">
        <f>IF(Q18="OM",H18,0)</f>
        <v>0</v>
      </c>
      <c r="Y18" s="129"/>
      <c r="AI18" s="128">
        <f>SUM(Z19:Z19)</f>
        <v>0</v>
      </c>
      <c r="AJ18" s="128">
        <f>SUM(AA19:AA19)</f>
        <v>0</v>
      </c>
      <c r="AK18" s="128">
        <f>SUM(AB19:AB19)</f>
        <v>0</v>
      </c>
    </row>
    <row r="19" spans="1:43" ht="12.75">
      <c r="A19" s="123" t="s">
        <v>209</v>
      </c>
      <c r="B19" s="123"/>
      <c r="C19" s="123" t="s">
        <v>210</v>
      </c>
      <c r="D19" s="123" t="s">
        <v>211</v>
      </c>
      <c r="E19" s="123" t="s">
        <v>212</v>
      </c>
      <c r="F19" s="124">
        <v>1</v>
      </c>
      <c r="G19" s="124">
        <v>0</v>
      </c>
      <c r="H19" s="124">
        <f>ROUND(F19*AE19,2)</f>
        <v>0</v>
      </c>
      <c r="I19" s="124">
        <f>J19-H19</f>
        <v>0</v>
      </c>
      <c r="J19" s="124">
        <f>ROUND(F19*G19,2)</f>
        <v>0</v>
      </c>
      <c r="K19" s="124">
        <v>0.04128</v>
      </c>
      <c r="L19" s="124">
        <f>F19*K19</f>
        <v>0.04128</v>
      </c>
      <c r="M19" s="125" t="s">
        <v>195</v>
      </c>
      <c r="N19" s="125" t="s">
        <v>192</v>
      </c>
      <c r="O19" s="124">
        <f>IF(N19="5",I19,0)</f>
        <v>0</v>
      </c>
      <c r="Z19" s="124">
        <f>IF(AD19=0,J19,0)</f>
        <v>0</v>
      </c>
      <c r="AA19" s="124">
        <f>IF(AD19=15,J19,0)</f>
        <v>0</v>
      </c>
      <c r="AB19" s="124">
        <f>IF(AD19=21,J19,0)</f>
        <v>0</v>
      </c>
      <c r="AD19" s="142">
        <v>21</v>
      </c>
      <c r="AE19" s="142">
        <f>G19*0.309175412293853</f>
        <v>0</v>
      </c>
      <c r="AF19" s="142">
        <f>G19*(1-0.309175412293853)</f>
        <v>0</v>
      </c>
      <c r="AM19" s="142">
        <f>F19*AE19</f>
        <v>0</v>
      </c>
      <c r="AN19" s="142">
        <f>F19*AF19</f>
        <v>0</v>
      </c>
      <c r="AO19" s="143" t="s">
        <v>331</v>
      </c>
      <c r="AP19" s="143" t="s">
        <v>330</v>
      </c>
      <c r="AQ19" s="129" t="s">
        <v>328</v>
      </c>
    </row>
    <row r="20" spans="1:37" ht="12.75">
      <c r="A20" s="126"/>
      <c r="B20" s="127"/>
      <c r="C20" s="127" t="s">
        <v>213</v>
      </c>
      <c r="D20" s="190" t="s">
        <v>214</v>
      </c>
      <c r="E20" s="191"/>
      <c r="F20" s="191"/>
      <c r="G20" s="191"/>
      <c r="H20" s="128">
        <f>SUM(H21:H23)</f>
        <v>0</v>
      </c>
      <c r="I20" s="128">
        <f>SUM(I21:I23)</f>
        <v>0</v>
      </c>
      <c r="J20" s="128">
        <f>H20+I20</f>
        <v>0</v>
      </c>
      <c r="K20" s="129"/>
      <c r="L20" s="128">
        <f>SUM(L21:L23)</f>
        <v>0.177682</v>
      </c>
      <c r="M20" s="129"/>
      <c r="P20" s="128">
        <f>IF(Q20="PR",J20,SUM(O21:O23))</f>
        <v>0</v>
      </c>
      <c r="Q20" s="129" t="s">
        <v>332</v>
      </c>
      <c r="R20" s="128">
        <f>IF(Q20="HS",H20,0)</f>
        <v>0</v>
      </c>
      <c r="S20" s="128">
        <f>IF(Q20="HS",I20-P20,0)</f>
        <v>0</v>
      </c>
      <c r="T20" s="128">
        <f>IF(Q20="PS",H20,0)</f>
        <v>0</v>
      </c>
      <c r="U20" s="128">
        <f>IF(Q20="PS",I20-P20,0)</f>
        <v>0</v>
      </c>
      <c r="V20" s="128">
        <f>IF(Q20="MP",H20,0)</f>
        <v>0</v>
      </c>
      <c r="W20" s="128">
        <f>IF(Q20="MP",I20-P20,0)</f>
        <v>0</v>
      </c>
      <c r="X20" s="128">
        <f>IF(Q20="OM",H20,0)</f>
        <v>0</v>
      </c>
      <c r="Y20" s="129"/>
      <c r="AI20" s="128">
        <f>SUM(Z21:Z23)</f>
        <v>0</v>
      </c>
      <c r="AJ20" s="128">
        <f>SUM(AA21:AA23)</f>
        <v>0</v>
      </c>
      <c r="AK20" s="128">
        <f>SUM(AB21:AB23)</f>
        <v>0</v>
      </c>
    </row>
    <row r="21" spans="1:43" ht="12.75">
      <c r="A21" s="123" t="s">
        <v>215</v>
      </c>
      <c r="B21" s="123"/>
      <c r="C21" s="123" t="s">
        <v>216</v>
      </c>
      <c r="D21" s="123" t="s">
        <v>217</v>
      </c>
      <c r="E21" s="123" t="s">
        <v>83</v>
      </c>
      <c r="F21" s="124">
        <v>17.8</v>
      </c>
      <c r="G21" s="124">
        <v>0</v>
      </c>
      <c r="H21" s="124">
        <f>ROUND(F21*AE21,2)</f>
        <v>0</v>
      </c>
      <c r="I21" s="124">
        <f>J21-H21</f>
        <v>0</v>
      </c>
      <c r="J21" s="124">
        <f>ROUND(F21*G21,2)</f>
        <v>0</v>
      </c>
      <c r="K21" s="124">
        <v>0.005</v>
      </c>
      <c r="L21" s="124">
        <f>F21*K21</f>
        <v>0.08900000000000001</v>
      </c>
      <c r="M21" s="125" t="s">
        <v>195</v>
      </c>
      <c r="N21" s="125" t="s">
        <v>192</v>
      </c>
      <c r="O21" s="124">
        <f>IF(N21="5",I21,0)</f>
        <v>0</v>
      </c>
      <c r="Z21" s="124">
        <f>IF(AD21=0,J21,0)</f>
        <v>0</v>
      </c>
      <c r="AA21" s="124">
        <f>IF(AD21=15,J21,0)</f>
        <v>0</v>
      </c>
      <c r="AB21" s="124">
        <f>IF(AD21=21,J21,0)</f>
        <v>0</v>
      </c>
      <c r="AD21" s="142">
        <v>21</v>
      </c>
      <c r="AE21" s="142">
        <f>G21*0</f>
        <v>0</v>
      </c>
      <c r="AF21" s="142">
        <f>G21*(1-0)</f>
        <v>0</v>
      </c>
      <c r="AM21" s="142">
        <f>F21*AE21</f>
        <v>0</v>
      </c>
      <c r="AN21" s="142">
        <f>F21*AF21</f>
        <v>0</v>
      </c>
      <c r="AO21" s="143" t="s">
        <v>333</v>
      </c>
      <c r="AP21" s="143" t="s">
        <v>334</v>
      </c>
      <c r="AQ21" s="129" t="s">
        <v>328</v>
      </c>
    </row>
    <row r="22" spans="1:43" ht="12.75" collapsed="1">
      <c r="A22" s="123" t="s">
        <v>218</v>
      </c>
      <c r="B22" s="123"/>
      <c r="C22" s="123" t="s">
        <v>219</v>
      </c>
      <c r="D22" s="123" t="s">
        <v>220</v>
      </c>
      <c r="E22" s="123" t="s">
        <v>83</v>
      </c>
      <c r="F22" s="124">
        <v>18.3</v>
      </c>
      <c r="G22" s="124">
        <v>0</v>
      </c>
      <c r="H22" s="124">
        <f>ROUND(F22*AE22,2)</f>
        <v>0</v>
      </c>
      <c r="I22" s="124">
        <f>J22-H22</f>
        <v>0</v>
      </c>
      <c r="J22" s="124">
        <f>ROUND(F22*G22,2)</f>
        <v>0</v>
      </c>
      <c r="K22" s="124">
        <v>6E-05</v>
      </c>
      <c r="L22" s="124">
        <f>F22*K22</f>
        <v>0.001098</v>
      </c>
      <c r="M22" s="125" t="s">
        <v>195</v>
      </c>
      <c r="N22" s="125" t="s">
        <v>192</v>
      </c>
      <c r="O22" s="124">
        <f>IF(N22="5",I22,0)</f>
        <v>0</v>
      </c>
      <c r="Z22" s="124">
        <f>IF(AD22=0,J22,0)</f>
        <v>0</v>
      </c>
      <c r="AA22" s="124">
        <f>IF(AD22=15,J22,0)</f>
        <v>0</v>
      </c>
      <c r="AB22" s="124">
        <f>IF(AD22=21,J22,0)</f>
        <v>0</v>
      </c>
      <c r="AD22" s="142">
        <v>21</v>
      </c>
      <c r="AE22" s="142">
        <f>G22*0.0235034502084136</f>
        <v>0</v>
      </c>
      <c r="AF22" s="142">
        <f>G22*(1-0.0235034502084136)</f>
        <v>0</v>
      </c>
      <c r="AM22" s="142">
        <f>F22*AE22</f>
        <v>0</v>
      </c>
      <c r="AN22" s="142">
        <f>F22*AF22</f>
        <v>0</v>
      </c>
      <c r="AO22" s="143" t="s">
        <v>333</v>
      </c>
      <c r="AP22" s="143" t="s">
        <v>334</v>
      </c>
      <c r="AQ22" s="129" t="s">
        <v>328</v>
      </c>
    </row>
    <row r="23" spans="1:43" ht="12.75">
      <c r="A23" s="123" t="s">
        <v>221</v>
      </c>
      <c r="B23" s="123"/>
      <c r="C23" s="123" t="s">
        <v>222</v>
      </c>
      <c r="D23" s="123" t="s">
        <v>223</v>
      </c>
      <c r="E23" s="123" t="s">
        <v>83</v>
      </c>
      <c r="F23" s="124">
        <v>23.8</v>
      </c>
      <c r="G23" s="124">
        <v>0</v>
      </c>
      <c r="H23" s="124">
        <f>ROUND(F23*AE23,2)</f>
        <v>0</v>
      </c>
      <c r="I23" s="124">
        <f>J23-H23</f>
        <v>0</v>
      </c>
      <c r="J23" s="124">
        <f>ROUND(F23*G23,2)</f>
        <v>0</v>
      </c>
      <c r="K23" s="124">
        <v>0.00368</v>
      </c>
      <c r="L23" s="124">
        <f>F23*K23</f>
        <v>0.08758400000000001</v>
      </c>
      <c r="M23" s="125" t="s">
        <v>195</v>
      </c>
      <c r="N23" s="125" t="s">
        <v>192</v>
      </c>
      <c r="O23" s="124">
        <f>IF(N23="5",I23,0)</f>
        <v>0</v>
      </c>
      <c r="Z23" s="124">
        <f>IF(AD23=0,J23,0)</f>
        <v>0</v>
      </c>
      <c r="AA23" s="124">
        <f>IF(AD23=15,J23,0)</f>
        <v>0</v>
      </c>
      <c r="AB23" s="124">
        <f>IF(AD23=21,J23,0)</f>
        <v>0</v>
      </c>
      <c r="AD23" s="142">
        <v>21</v>
      </c>
      <c r="AE23" s="142">
        <f>G23*0.628318584070796</f>
        <v>0</v>
      </c>
      <c r="AF23" s="142">
        <f>G23*(1-0.628318584070796)</f>
        <v>0</v>
      </c>
      <c r="AM23" s="142">
        <f>F23*AE23</f>
        <v>0</v>
      </c>
      <c r="AN23" s="142">
        <f>F23*AF23</f>
        <v>0</v>
      </c>
      <c r="AO23" s="143" t="s">
        <v>333</v>
      </c>
      <c r="AP23" s="143" t="s">
        <v>334</v>
      </c>
      <c r="AQ23" s="129" t="s">
        <v>328</v>
      </c>
    </row>
    <row r="24" spans="1:37" ht="12.75">
      <c r="A24" s="126"/>
      <c r="B24" s="127"/>
      <c r="C24" s="127" t="s">
        <v>224</v>
      </c>
      <c r="D24" s="190" t="s">
        <v>225</v>
      </c>
      <c r="E24" s="191"/>
      <c r="F24" s="191"/>
      <c r="G24" s="191"/>
      <c r="H24" s="128">
        <f>SUM(H25:H29)</f>
        <v>0</v>
      </c>
      <c r="I24" s="128">
        <f>SUM(I25:I29)</f>
        <v>0</v>
      </c>
      <c r="J24" s="128">
        <f>H24+I24</f>
        <v>0</v>
      </c>
      <c r="K24" s="129"/>
      <c r="L24" s="128">
        <f>SUM(L25:L29)</f>
        <v>0.2496</v>
      </c>
      <c r="M24" s="129"/>
      <c r="P24" s="128">
        <f>IF(Q24="PR",J24,SUM(O25:O29))</f>
        <v>0</v>
      </c>
      <c r="Q24" s="129" t="s">
        <v>332</v>
      </c>
      <c r="R24" s="128">
        <f>IF(Q24="HS",H24,0)</f>
        <v>0</v>
      </c>
      <c r="S24" s="128">
        <f>IF(Q24="HS",I24-P24,0)</f>
        <v>0</v>
      </c>
      <c r="T24" s="128">
        <f>IF(Q24="PS",H24,0)</f>
        <v>0</v>
      </c>
      <c r="U24" s="128">
        <f>IF(Q24="PS",I24-P24,0)</f>
        <v>0</v>
      </c>
      <c r="V24" s="128">
        <f>IF(Q24="MP",H24,0)</f>
        <v>0</v>
      </c>
      <c r="W24" s="128">
        <f>IF(Q24="MP",I24-P24,0)</f>
        <v>0</v>
      </c>
      <c r="X24" s="128">
        <f>IF(Q24="OM",H24,0)</f>
        <v>0</v>
      </c>
      <c r="Y24" s="129"/>
      <c r="AI24" s="128">
        <f>SUM(Z25:Z29)</f>
        <v>0</v>
      </c>
      <c r="AJ24" s="128">
        <f>SUM(AA25:AA29)</f>
        <v>0</v>
      </c>
      <c r="AK24" s="128">
        <f>SUM(AB25:AB29)</f>
        <v>0</v>
      </c>
    </row>
    <row r="25" spans="1:43" ht="40.5" customHeight="1">
      <c r="A25" s="123" t="s">
        <v>226</v>
      </c>
      <c r="B25" s="123"/>
      <c r="C25" s="123" t="s">
        <v>227</v>
      </c>
      <c r="D25" s="123" t="s">
        <v>228</v>
      </c>
      <c r="E25" s="123" t="s">
        <v>83</v>
      </c>
      <c r="F25" s="124">
        <v>6.7</v>
      </c>
      <c r="G25" s="124">
        <v>0</v>
      </c>
      <c r="H25" s="124">
        <f>ROUND(F25*AE25,2)</f>
        <v>0</v>
      </c>
      <c r="I25" s="124">
        <f>J25-H25</f>
        <v>0</v>
      </c>
      <c r="J25" s="124">
        <f>ROUND(F25*G25,2)</f>
        <v>0</v>
      </c>
      <c r="K25" s="124">
        <v>0</v>
      </c>
      <c r="L25" s="124">
        <f>F25*K25</f>
        <v>0</v>
      </c>
      <c r="M25" s="125" t="s">
        <v>195</v>
      </c>
      <c r="N25" s="125" t="s">
        <v>192</v>
      </c>
      <c r="O25" s="124">
        <f>IF(N25="5",I25,0)</f>
        <v>0</v>
      </c>
      <c r="Z25" s="124">
        <f>IF(AD25=0,J25,0)</f>
        <v>0</v>
      </c>
      <c r="AA25" s="124">
        <f>IF(AD25=15,J25,0)</f>
        <v>0</v>
      </c>
      <c r="AB25" s="124">
        <f>IF(AD25=21,J25,0)</f>
        <v>0</v>
      </c>
      <c r="AD25" s="142">
        <v>21</v>
      </c>
      <c r="AE25" s="142">
        <f>G25*0</f>
        <v>0</v>
      </c>
      <c r="AF25" s="142">
        <f>G25*(1-0)</f>
        <v>0</v>
      </c>
      <c r="AM25" s="142">
        <f>F25*AE25</f>
        <v>0</v>
      </c>
      <c r="AN25" s="142">
        <f>F25*AF25</f>
        <v>0</v>
      </c>
      <c r="AO25" s="143" t="s">
        <v>335</v>
      </c>
      <c r="AP25" s="143" t="s">
        <v>336</v>
      </c>
      <c r="AQ25" s="129" t="s">
        <v>328</v>
      </c>
    </row>
    <row r="26" spans="1:43" ht="12.75">
      <c r="A26" s="123" t="s">
        <v>229</v>
      </c>
      <c r="B26" s="123"/>
      <c r="C26" s="123" t="s">
        <v>230</v>
      </c>
      <c r="D26" s="123" t="s">
        <v>231</v>
      </c>
      <c r="E26" s="123" t="s">
        <v>19</v>
      </c>
      <c r="F26" s="124">
        <v>4.06</v>
      </c>
      <c r="G26" s="124">
        <v>0</v>
      </c>
      <c r="H26" s="124">
        <f>ROUND(F26*AE26,2)</f>
        <v>0</v>
      </c>
      <c r="I26" s="124">
        <f>J26-H26</f>
        <v>0</v>
      </c>
      <c r="J26" s="124">
        <f>ROUND(F26*G26,2)</f>
        <v>0</v>
      </c>
      <c r="K26" s="124">
        <v>0</v>
      </c>
      <c r="L26" s="124">
        <f>F26*K26</f>
        <v>0</v>
      </c>
      <c r="M26" s="125" t="s">
        <v>195</v>
      </c>
      <c r="N26" s="125" t="s">
        <v>192</v>
      </c>
      <c r="O26" s="124">
        <f>IF(N26="5",I26,0)</f>
        <v>0</v>
      </c>
      <c r="Z26" s="124">
        <f>IF(AD26=0,J26,0)</f>
        <v>0</v>
      </c>
      <c r="AA26" s="124">
        <f>IF(AD26=15,J26,0)</f>
        <v>0</v>
      </c>
      <c r="AB26" s="124">
        <f>IF(AD26=21,J26,0)</f>
        <v>0</v>
      </c>
      <c r="AD26" s="142">
        <v>21</v>
      </c>
      <c r="AE26" s="142">
        <f>G26*0</f>
        <v>0</v>
      </c>
      <c r="AF26" s="142">
        <f>G26*(1-0)</f>
        <v>0</v>
      </c>
      <c r="AM26" s="142">
        <f>F26*AE26</f>
        <v>0</v>
      </c>
      <c r="AN26" s="142">
        <f>F26*AF26</f>
        <v>0</v>
      </c>
      <c r="AO26" s="143" t="s">
        <v>335</v>
      </c>
      <c r="AP26" s="143" t="s">
        <v>336</v>
      </c>
      <c r="AQ26" s="129" t="s">
        <v>328</v>
      </c>
    </row>
    <row r="27" spans="1:43" ht="12.75">
      <c r="A27" s="123" t="s">
        <v>232</v>
      </c>
      <c r="B27" s="123"/>
      <c r="C27" s="123" t="s">
        <v>233</v>
      </c>
      <c r="D27" s="123" t="s">
        <v>234</v>
      </c>
      <c r="E27" s="123" t="s">
        <v>83</v>
      </c>
      <c r="F27" s="124">
        <v>13</v>
      </c>
      <c r="G27" s="124">
        <v>0</v>
      </c>
      <c r="H27" s="124">
        <f>ROUND(F27*AE27,2)</f>
        <v>0</v>
      </c>
      <c r="I27" s="124">
        <f>J27-H27</f>
        <v>0</v>
      </c>
      <c r="J27" s="124">
        <f>ROUND(F27*G27,2)</f>
        <v>0</v>
      </c>
      <c r="K27" s="124">
        <v>0</v>
      </c>
      <c r="L27" s="124">
        <f>F27*K27</f>
        <v>0</v>
      </c>
      <c r="M27" s="125" t="s">
        <v>195</v>
      </c>
      <c r="N27" s="125" t="s">
        <v>192</v>
      </c>
      <c r="O27" s="124">
        <f>IF(N27="5",I27,0)</f>
        <v>0</v>
      </c>
      <c r="Z27" s="124">
        <f>IF(AD27=0,J27,0)</f>
        <v>0</v>
      </c>
      <c r="AA27" s="124">
        <f>IF(AD27=15,J27,0)</f>
        <v>0</v>
      </c>
      <c r="AB27" s="124">
        <f>IF(AD27=21,J27,0)</f>
        <v>0</v>
      </c>
      <c r="AD27" s="142">
        <v>21</v>
      </c>
      <c r="AE27" s="142">
        <f>G27*0</f>
        <v>0</v>
      </c>
      <c r="AF27" s="142">
        <f>G27*(1-0)</f>
        <v>0</v>
      </c>
      <c r="AM27" s="142">
        <f>F27*AE27</f>
        <v>0</v>
      </c>
      <c r="AN27" s="142">
        <f>F27*AF27</f>
        <v>0</v>
      </c>
      <c r="AO27" s="143" t="s">
        <v>335</v>
      </c>
      <c r="AP27" s="143" t="s">
        <v>336</v>
      </c>
      <c r="AQ27" s="129" t="s">
        <v>328</v>
      </c>
    </row>
    <row r="28" spans="1:43" ht="12.75">
      <c r="A28" s="130" t="s">
        <v>235</v>
      </c>
      <c r="B28" s="130"/>
      <c r="C28" s="130" t="s">
        <v>236</v>
      </c>
      <c r="D28" s="130" t="s">
        <v>237</v>
      </c>
      <c r="E28" s="130" t="s">
        <v>83</v>
      </c>
      <c r="F28" s="131">
        <v>13</v>
      </c>
      <c r="G28" s="131">
        <v>0</v>
      </c>
      <c r="H28" s="131">
        <f>ROUND(F28*AE28,2)</f>
        <v>0</v>
      </c>
      <c r="I28" s="131">
        <f>J28-H28</f>
        <v>0</v>
      </c>
      <c r="J28" s="131">
        <f>ROUND(F28*G28,2)</f>
        <v>0</v>
      </c>
      <c r="K28" s="131">
        <v>0.0192</v>
      </c>
      <c r="L28" s="131">
        <f>F28*K28</f>
        <v>0.2496</v>
      </c>
      <c r="M28" s="132" t="s">
        <v>195</v>
      </c>
      <c r="N28" s="132" t="s">
        <v>337</v>
      </c>
      <c r="O28" s="131">
        <f>IF(N28="5",I28,0)</f>
        <v>0</v>
      </c>
      <c r="Z28" s="131">
        <f>IF(AD28=0,J28,0)</f>
        <v>0</v>
      </c>
      <c r="AA28" s="131">
        <f>IF(AD28=15,J28,0)</f>
        <v>0</v>
      </c>
      <c r="AB28" s="131">
        <f>IF(AD28=21,J28,0)</f>
        <v>0</v>
      </c>
      <c r="AD28" s="142">
        <v>21</v>
      </c>
      <c r="AE28" s="142">
        <f>G28*1</f>
        <v>0</v>
      </c>
      <c r="AF28" s="142">
        <f>G28*(1-1)</f>
        <v>0</v>
      </c>
      <c r="AM28" s="142">
        <f>F28*AE28</f>
        <v>0</v>
      </c>
      <c r="AN28" s="142">
        <f>F28*AF28</f>
        <v>0</v>
      </c>
      <c r="AO28" s="143" t="s">
        <v>335</v>
      </c>
      <c r="AP28" s="143" t="s">
        <v>336</v>
      </c>
      <c r="AQ28" s="129" t="s">
        <v>328</v>
      </c>
    </row>
    <row r="29" spans="1:43" ht="12.75">
      <c r="A29" s="123" t="s">
        <v>238</v>
      </c>
      <c r="B29" s="123"/>
      <c r="C29" s="123" t="s">
        <v>239</v>
      </c>
      <c r="D29" s="123" t="s">
        <v>240</v>
      </c>
      <c r="E29" s="123" t="s">
        <v>83</v>
      </c>
      <c r="F29" s="124">
        <v>10</v>
      </c>
      <c r="G29" s="124">
        <v>0</v>
      </c>
      <c r="H29" s="124">
        <f>ROUND(F29*AE29,2)</f>
        <v>0</v>
      </c>
      <c r="I29" s="124">
        <f>J29-H29</f>
        <v>0</v>
      </c>
      <c r="J29" s="124">
        <f>ROUND(F29*G29,2)</f>
        <v>0</v>
      </c>
      <c r="K29" s="124">
        <v>0</v>
      </c>
      <c r="L29" s="124">
        <f>F29*K29</f>
        <v>0</v>
      </c>
      <c r="M29" s="125" t="s">
        <v>195</v>
      </c>
      <c r="N29" s="125" t="s">
        <v>192</v>
      </c>
      <c r="O29" s="124">
        <f>IF(N29="5",I29,0)</f>
        <v>0</v>
      </c>
      <c r="Z29" s="124">
        <f>IF(AD29=0,J29,0)</f>
        <v>0</v>
      </c>
      <c r="AA29" s="124">
        <f>IF(AD29=15,J29,0)</f>
        <v>0</v>
      </c>
      <c r="AB29" s="124">
        <f>IF(AD29=21,J29,0)</f>
        <v>0</v>
      </c>
      <c r="AD29" s="142">
        <v>21</v>
      </c>
      <c r="AE29" s="142">
        <f>G29*0</f>
        <v>0</v>
      </c>
      <c r="AF29" s="142">
        <f>G29*(1-0)</f>
        <v>0</v>
      </c>
      <c r="AM29" s="142">
        <f>F29*AE29</f>
        <v>0</v>
      </c>
      <c r="AN29" s="142">
        <f>F29*AF29</f>
        <v>0</v>
      </c>
      <c r="AO29" s="143" t="s">
        <v>335</v>
      </c>
      <c r="AP29" s="143" t="s">
        <v>336</v>
      </c>
      <c r="AQ29" s="129" t="s">
        <v>328</v>
      </c>
    </row>
    <row r="30" spans="1:37" ht="12.75">
      <c r="A30" s="126"/>
      <c r="B30" s="127"/>
      <c r="C30" s="127" t="s">
        <v>241</v>
      </c>
      <c r="D30" s="190" t="s">
        <v>242</v>
      </c>
      <c r="E30" s="191"/>
      <c r="F30" s="191"/>
      <c r="G30" s="191"/>
      <c r="H30" s="128">
        <f>SUM(H31:H32)</f>
        <v>0</v>
      </c>
      <c r="I30" s="128">
        <f>SUM(I31:I32)</f>
        <v>0</v>
      </c>
      <c r="J30" s="128">
        <f>H30+I30</f>
        <v>0</v>
      </c>
      <c r="K30" s="129"/>
      <c r="L30" s="128">
        <f>SUM(L31:L32)</f>
        <v>0.035199999999999995</v>
      </c>
      <c r="M30" s="129"/>
      <c r="P30" s="128">
        <f>IF(Q30="PR",J30,SUM(O31:O32))</f>
        <v>0</v>
      </c>
      <c r="Q30" s="129" t="s">
        <v>332</v>
      </c>
      <c r="R30" s="128">
        <f>IF(Q30="HS",H30,0)</f>
        <v>0</v>
      </c>
      <c r="S30" s="128">
        <f>IF(Q30="HS",I30-P30,0)</f>
        <v>0</v>
      </c>
      <c r="T30" s="128">
        <f>IF(Q30="PS",H30,0)</f>
        <v>0</v>
      </c>
      <c r="U30" s="128">
        <f>IF(Q30="PS",I30-P30,0)</f>
        <v>0</v>
      </c>
      <c r="V30" s="128">
        <f>IF(Q30="MP",H30,0)</f>
        <v>0</v>
      </c>
      <c r="W30" s="128">
        <f>IF(Q30="MP",I30-P30,0)</f>
        <v>0</v>
      </c>
      <c r="X30" s="128">
        <f>IF(Q30="OM",H30,0)</f>
        <v>0</v>
      </c>
      <c r="Y30" s="129"/>
      <c r="AI30" s="128">
        <f>SUM(Z31:Z32)</f>
        <v>0</v>
      </c>
      <c r="AJ30" s="128">
        <f>SUM(AA31:AA32)</f>
        <v>0</v>
      </c>
      <c r="AK30" s="128">
        <f>SUM(AB31:AB32)</f>
        <v>0</v>
      </c>
    </row>
    <row r="31" spans="1:43" ht="12.75">
      <c r="A31" s="123" t="s">
        <v>243</v>
      </c>
      <c r="B31" s="123"/>
      <c r="C31" s="123" t="s">
        <v>244</v>
      </c>
      <c r="D31" s="123" t="s">
        <v>245</v>
      </c>
      <c r="E31" s="123" t="s">
        <v>83</v>
      </c>
      <c r="F31" s="124">
        <v>160</v>
      </c>
      <c r="G31" s="124">
        <v>0</v>
      </c>
      <c r="H31" s="124">
        <f>ROUND(F31*AE31,2)</f>
        <v>0</v>
      </c>
      <c r="I31" s="124">
        <f>J31-H31</f>
        <v>0</v>
      </c>
      <c r="J31" s="124">
        <f>ROUND(F31*G31,2)</f>
        <v>0</v>
      </c>
      <c r="K31" s="124">
        <v>7E-05</v>
      </c>
      <c r="L31" s="124">
        <f>F31*K31</f>
        <v>0.011199999999999998</v>
      </c>
      <c r="M31" s="125" t="s">
        <v>195</v>
      </c>
      <c r="N31" s="125" t="s">
        <v>192</v>
      </c>
      <c r="O31" s="124">
        <f>IF(N31="5",I31,0)</f>
        <v>0</v>
      </c>
      <c r="Z31" s="124">
        <f>IF(AD31=0,J31,0)</f>
        <v>0</v>
      </c>
      <c r="AA31" s="124">
        <f>IF(AD31=15,J31,0)</f>
        <v>0</v>
      </c>
      <c r="AB31" s="124">
        <f>IF(AD31=21,J31,0)</f>
        <v>0</v>
      </c>
      <c r="AD31" s="142">
        <v>21</v>
      </c>
      <c r="AE31" s="142">
        <f>G31*0.295925661186562</f>
        <v>0</v>
      </c>
      <c r="AF31" s="142">
        <f>G31*(1-0.295925661186562)</f>
        <v>0</v>
      </c>
      <c r="AM31" s="142">
        <f>F31*AE31</f>
        <v>0</v>
      </c>
      <c r="AN31" s="142">
        <f>F31*AF31</f>
        <v>0</v>
      </c>
      <c r="AO31" s="143" t="s">
        <v>338</v>
      </c>
      <c r="AP31" s="143" t="s">
        <v>339</v>
      </c>
      <c r="AQ31" s="129" t="s">
        <v>328</v>
      </c>
    </row>
    <row r="32" spans="1:43" ht="12.75">
      <c r="A32" s="123" t="s">
        <v>246</v>
      </c>
      <c r="B32" s="123"/>
      <c r="C32" s="123" t="s">
        <v>247</v>
      </c>
      <c r="D32" s="123" t="s">
        <v>248</v>
      </c>
      <c r="E32" s="123" t="s">
        <v>83</v>
      </c>
      <c r="F32" s="124">
        <v>160</v>
      </c>
      <c r="G32" s="124">
        <v>0</v>
      </c>
      <c r="H32" s="124">
        <f>ROUND(F32*AE32,2)</f>
        <v>0</v>
      </c>
      <c r="I32" s="124">
        <f>J32-H32</f>
        <v>0</v>
      </c>
      <c r="J32" s="124">
        <f>ROUND(F32*G32,2)</f>
        <v>0</v>
      </c>
      <c r="K32" s="124">
        <v>0.00015</v>
      </c>
      <c r="L32" s="124">
        <f>F32*K32</f>
        <v>0.023999999999999997</v>
      </c>
      <c r="M32" s="125" t="s">
        <v>195</v>
      </c>
      <c r="N32" s="125" t="s">
        <v>192</v>
      </c>
      <c r="O32" s="124">
        <f>IF(N32="5",I32,0)</f>
        <v>0</v>
      </c>
      <c r="Z32" s="124">
        <f>IF(AD32=0,J32,0)</f>
        <v>0</v>
      </c>
      <c r="AA32" s="124">
        <f>IF(AD32=15,J32,0)</f>
        <v>0</v>
      </c>
      <c r="AB32" s="124">
        <f>IF(AD32=21,J32,0)</f>
        <v>0</v>
      </c>
      <c r="AD32" s="142">
        <v>21</v>
      </c>
      <c r="AE32" s="142">
        <f>G32*0.109433962264151</f>
        <v>0</v>
      </c>
      <c r="AF32" s="142">
        <f>G32*(1-0.109433962264151)</f>
        <v>0</v>
      </c>
      <c r="AM32" s="142">
        <f>F32*AE32</f>
        <v>0</v>
      </c>
      <c r="AN32" s="142">
        <f>F32*AF32</f>
        <v>0</v>
      </c>
      <c r="AO32" s="143" t="s">
        <v>338</v>
      </c>
      <c r="AP32" s="143" t="s">
        <v>339</v>
      </c>
      <c r="AQ32" s="129" t="s">
        <v>328</v>
      </c>
    </row>
    <row r="33" spans="1:37" ht="12.75">
      <c r="A33" s="126"/>
      <c r="B33" s="127"/>
      <c r="C33" s="127" t="s">
        <v>249</v>
      </c>
      <c r="D33" s="190" t="s">
        <v>250</v>
      </c>
      <c r="E33" s="191"/>
      <c r="F33" s="191"/>
      <c r="G33" s="191"/>
      <c r="H33" s="128">
        <f>SUM(H34:H34)</f>
        <v>0</v>
      </c>
      <c r="I33" s="128">
        <f>SUM(I34:I34)</f>
        <v>0</v>
      </c>
      <c r="J33" s="128">
        <f>H33+I33</f>
        <v>0</v>
      </c>
      <c r="K33" s="129"/>
      <c r="L33" s="128">
        <f>SUM(L34:L34)</f>
        <v>0.00242</v>
      </c>
      <c r="M33" s="129"/>
      <c r="P33" s="128">
        <f>IF(Q33="PR",J33,SUM(O34:O34))</f>
        <v>0</v>
      </c>
      <c r="Q33" s="129" t="s">
        <v>325</v>
      </c>
      <c r="R33" s="128">
        <f>IF(Q33="HS",H33,0)</f>
        <v>0</v>
      </c>
      <c r="S33" s="128">
        <f>IF(Q33="HS",I33-P33,0)</f>
        <v>0</v>
      </c>
      <c r="T33" s="128">
        <f>IF(Q33="PS",H33,0)</f>
        <v>0</v>
      </c>
      <c r="U33" s="128">
        <f>IF(Q33="PS",I33-P33,0)</f>
        <v>0</v>
      </c>
      <c r="V33" s="128">
        <f>IF(Q33="MP",H33,0)</f>
        <v>0</v>
      </c>
      <c r="W33" s="128">
        <f>IF(Q33="MP",I33-P33,0)</f>
        <v>0</v>
      </c>
      <c r="X33" s="128">
        <f>IF(Q33="OM",H33,0)</f>
        <v>0</v>
      </c>
      <c r="Y33" s="129"/>
      <c r="AI33" s="128">
        <f>SUM(Z34:Z34)</f>
        <v>0</v>
      </c>
      <c r="AJ33" s="128">
        <f>SUM(AA34:AA34)</f>
        <v>0</v>
      </c>
      <c r="AK33" s="128">
        <f>SUM(AB34:AB34)</f>
        <v>0</v>
      </c>
    </row>
    <row r="34" spans="1:43" ht="12.75">
      <c r="A34" s="123" t="s">
        <v>251</v>
      </c>
      <c r="B34" s="123"/>
      <c r="C34" s="123" t="s">
        <v>252</v>
      </c>
      <c r="D34" s="123" t="s">
        <v>253</v>
      </c>
      <c r="E34" s="123" t="s">
        <v>83</v>
      </c>
      <c r="F34" s="124">
        <v>2</v>
      </c>
      <c r="G34" s="124">
        <v>0</v>
      </c>
      <c r="H34" s="124">
        <f>ROUND(F34*AE34,2)</f>
        <v>0</v>
      </c>
      <c r="I34" s="124">
        <f>J34-H34</f>
        <v>0</v>
      </c>
      <c r="J34" s="124">
        <f>ROUND(F34*G34,2)</f>
        <v>0</v>
      </c>
      <c r="K34" s="124">
        <v>0.00121</v>
      </c>
      <c r="L34" s="124">
        <f>F34*K34</f>
        <v>0.00242</v>
      </c>
      <c r="M34" s="125" t="s">
        <v>195</v>
      </c>
      <c r="N34" s="125" t="s">
        <v>192</v>
      </c>
      <c r="O34" s="124">
        <f>IF(N34="5",I34,0)</f>
        <v>0</v>
      </c>
      <c r="Z34" s="124">
        <f>IF(AD34=0,J34,0)</f>
        <v>0</v>
      </c>
      <c r="AA34" s="124">
        <f>IF(AD34=15,J34,0)</f>
        <v>0</v>
      </c>
      <c r="AB34" s="124">
        <f>IF(AD34=21,J34,0)</f>
        <v>0</v>
      </c>
      <c r="AD34" s="142">
        <v>21</v>
      </c>
      <c r="AE34" s="142">
        <f>G34*0.430686237611341</f>
        <v>0</v>
      </c>
      <c r="AF34" s="142">
        <f>G34*(1-0.430686237611341)</f>
        <v>0</v>
      </c>
      <c r="AM34" s="142">
        <f>F34*AE34</f>
        <v>0</v>
      </c>
      <c r="AN34" s="142">
        <f>F34*AF34</f>
        <v>0</v>
      </c>
      <c r="AO34" s="143" t="s">
        <v>340</v>
      </c>
      <c r="AP34" s="143" t="s">
        <v>341</v>
      </c>
      <c r="AQ34" s="129" t="s">
        <v>328</v>
      </c>
    </row>
    <row r="35" spans="1:37" ht="12.75">
      <c r="A35" s="126"/>
      <c r="B35" s="127"/>
      <c r="C35" s="127" t="s">
        <v>254</v>
      </c>
      <c r="D35" s="190" t="s">
        <v>255</v>
      </c>
      <c r="E35" s="191"/>
      <c r="F35" s="191"/>
      <c r="G35" s="191"/>
      <c r="H35" s="128">
        <f>SUM(H36:H37)</f>
        <v>0</v>
      </c>
      <c r="I35" s="128">
        <f>SUM(I36:I37)</f>
        <v>0</v>
      </c>
      <c r="J35" s="128">
        <f>H35+I35</f>
        <v>0</v>
      </c>
      <c r="K35" s="129"/>
      <c r="L35" s="128">
        <f>SUM(L36:L37)</f>
        <v>0.002916</v>
      </c>
      <c r="M35" s="129"/>
      <c r="P35" s="128">
        <f>IF(Q35="PR",J35,SUM(O36:O37))</f>
        <v>0</v>
      </c>
      <c r="Q35" s="129" t="s">
        <v>325</v>
      </c>
      <c r="R35" s="128">
        <f>IF(Q35="HS",H35,0)</f>
        <v>0</v>
      </c>
      <c r="S35" s="128">
        <f>IF(Q35="HS",I35-P35,0)</f>
        <v>0</v>
      </c>
      <c r="T35" s="128">
        <f>IF(Q35="PS",H35,0)</f>
        <v>0</v>
      </c>
      <c r="U35" s="128">
        <f>IF(Q35="PS",I35-P35,0)</f>
        <v>0</v>
      </c>
      <c r="V35" s="128">
        <f>IF(Q35="MP",H35,0)</f>
        <v>0</v>
      </c>
      <c r="W35" s="128">
        <f>IF(Q35="MP",I35-P35,0)</f>
        <v>0</v>
      </c>
      <c r="X35" s="128">
        <f>IF(Q35="OM",H35,0)</f>
        <v>0</v>
      </c>
      <c r="Y35" s="129"/>
      <c r="AI35" s="128">
        <f>SUM(Z36:Z37)</f>
        <v>0</v>
      </c>
      <c r="AJ35" s="128">
        <f>SUM(AA36:AA37)</f>
        <v>0</v>
      </c>
      <c r="AK35" s="128">
        <f>SUM(AB36:AB37)</f>
        <v>0</v>
      </c>
    </row>
    <row r="36" spans="1:43" ht="12.75">
      <c r="A36" s="123" t="s">
        <v>256</v>
      </c>
      <c r="B36" s="123"/>
      <c r="C36" s="123" t="s">
        <v>257</v>
      </c>
      <c r="D36" s="123" t="s">
        <v>258</v>
      </c>
      <c r="E36" s="123" t="s">
        <v>83</v>
      </c>
      <c r="F36" s="124">
        <v>70</v>
      </c>
      <c r="G36" s="124">
        <v>0</v>
      </c>
      <c r="H36" s="124">
        <f>ROUND(F36*AE36,2)</f>
        <v>0</v>
      </c>
      <c r="I36" s="124">
        <f>J36-H36</f>
        <v>0</v>
      </c>
      <c r="J36" s="124">
        <f>ROUND(F36*G36,2)</f>
        <v>0</v>
      </c>
      <c r="K36" s="124">
        <v>4E-05</v>
      </c>
      <c r="L36" s="124">
        <f>F36*K36</f>
        <v>0.0028000000000000004</v>
      </c>
      <c r="M36" s="125" t="s">
        <v>195</v>
      </c>
      <c r="N36" s="125" t="s">
        <v>192</v>
      </c>
      <c r="O36" s="124">
        <f>IF(N36="5",I36,0)</f>
        <v>0</v>
      </c>
      <c r="Z36" s="124">
        <f>IF(AD36=0,J36,0)</f>
        <v>0</v>
      </c>
      <c r="AA36" s="124">
        <f>IF(AD36=15,J36,0)</f>
        <v>0</v>
      </c>
      <c r="AB36" s="124">
        <f>IF(AD36=21,J36,0)</f>
        <v>0</v>
      </c>
      <c r="AD36" s="142">
        <v>21</v>
      </c>
      <c r="AE36" s="142">
        <f>G36*0.0174089068825911</f>
        <v>0</v>
      </c>
      <c r="AF36" s="142">
        <f>G36*(1-0.0174089068825911)</f>
        <v>0</v>
      </c>
      <c r="AM36" s="142">
        <f>F36*AE36</f>
        <v>0</v>
      </c>
      <c r="AN36" s="142">
        <f>F36*AF36</f>
        <v>0</v>
      </c>
      <c r="AO36" s="143" t="s">
        <v>342</v>
      </c>
      <c r="AP36" s="143" t="s">
        <v>341</v>
      </c>
      <c r="AQ36" s="129" t="s">
        <v>328</v>
      </c>
    </row>
    <row r="37" spans="1:43" ht="12.75">
      <c r="A37" s="123" t="s">
        <v>259</v>
      </c>
      <c r="B37" s="123"/>
      <c r="C37" s="123" t="s">
        <v>260</v>
      </c>
      <c r="D37" s="123" t="s">
        <v>261</v>
      </c>
      <c r="E37" s="123" t="s">
        <v>83</v>
      </c>
      <c r="F37" s="124">
        <v>11.6</v>
      </c>
      <c r="G37" s="124">
        <v>0</v>
      </c>
      <c r="H37" s="124">
        <f>ROUND(F37*AE37,2)</f>
        <v>0</v>
      </c>
      <c r="I37" s="124">
        <f>J37-H37</f>
        <v>0</v>
      </c>
      <c r="J37" s="124">
        <f>ROUND(F37*G37,2)</f>
        <v>0</v>
      </c>
      <c r="K37" s="124">
        <v>1E-05</v>
      </c>
      <c r="L37" s="124">
        <f>F37*K37</f>
        <v>0.000116</v>
      </c>
      <c r="M37" s="125" t="s">
        <v>195</v>
      </c>
      <c r="N37" s="125" t="s">
        <v>192</v>
      </c>
      <c r="O37" s="124">
        <f>IF(N37="5",I37,0)</f>
        <v>0</v>
      </c>
      <c r="Z37" s="124">
        <f>IF(AD37=0,J37,0)</f>
        <v>0</v>
      </c>
      <c r="AA37" s="124">
        <f>IF(AD37=15,J37,0)</f>
        <v>0</v>
      </c>
      <c r="AB37" s="124">
        <f>IF(AD37=21,J37,0)</f>
        <v>0</v>
      </c>
      <c r="AD37" s="142">
        <v>21</v>
      </c>
      <c r="AE37" s="142">
        <f>G37*0.0281645569620253</f>
        <v>0</v>
      </c>
      <c r="AF37" s="142">
        <f>G37*(1-0.0281645569620253)</f>
        <v>0</v>
      </c>
      <c r="AM37" s="142">
        <f>F37*AE37</f>
        <v>0</v>
      </c>
      <c r="AN37" s="142">
        <f>F37*AF37</f>
        <v>0</v>
      </c>
      <c r="AO37" s="143" t="s">
        <v>342</v>
      </c>
      <c r="AP37" s="143" t="s">
        <v>341</v>
      </c>
      <c r="AQ37" s="129" t="s">
        <v>328</v>
      </c>
    </row>
    <row r="38" spans="1:37" ht="12.75">
      <c r="A38" s="126"/>
      <c r="B38" s="127"/>
      <c r="C38" s="127" t="s">
        <v>262</v>
      </c>
      <c r="D38" s="190" t="s">
        <v>263</v>
      </c>
      <c r="E38" s="191"/>
      <c r="F38" s="191"/>
      <c r="G38" s="191"/>
      <c r="H38" s="128">
        <f>SUM(H39:H42)</f>
        <v>0</v>
      </c>
      <c r="I38" s="128">
        <f>SUM(I39:I42)</f>
        <v>0</v>
      </c>
      <c r="J38" s="128">
        <f>H38+I38</f>
        <v>0</v>
      </c>
      <c r="K38" s="129"/>
      <c r="L38" s="128">
        <f>SUM(L39:L42)</f>
        <v>2.8977473000000002</v>
      </c>
      <c r="M38" s="129"/>
      <c r="P38" s="128">
        <f>IF(Q38="PR",J38,SUM(O39:O42))</f>
        <v>0</v>
      </c>
      <c r="Q38" s="129" t="s">
        <v>325</v>
      </c>
      <c r="R38" s="128">
        <f>IF(Q38="HS",H38,0)</f>
        <v>0</v>
      </c>
      <c r="S38" s="128">
        <f>IF(Q38="HS",I38-P38,0)</f>
        <v>0</v>
      </c>
      <c r="T38" s="128">
        <f>IF(Q38="PS",H38,0)</f>
        <v>0</v>
      </c>
      <c r="U38" s="128">
        <f>IF(Q38="PS",I38-P38,0)</f>
        <v>0</v>
      </c>
      <c r="V38" s="128">
        <f>IF(Q38="MP",H38,0)</f>
        <v>0</v>
      </c>
      <c r="W38" s="128">
        <f>IF(Q38="MP",I38-P38,0)</f>
        <v>0</v>
      </c>
      <c r="X38" s="128">
        <f>IF(Q38="OM",H38,0)</f>
        <v>0</v>
      </c>
      <c r="Y38" s="129"/>
      <c r="AI38" s="128">
        <f>SUM(Z39:Z42)</f>
        <v>0</v>
      </c>
      <c r="AJ38" s="128">
        <f>SUM(AA39:AA42)</f>
        <v>0</v>
      </c>
      <c r="AK38" s="128">
        <f>SUM(AB39:AB42)</f>
        <v>0</v>
      </c>
    </row>
    <row r="39" spans="1:43" ht="12.75">
      <c r="A39" s="123" t="s">
        <v>264</v>
      </c>
      <c r="B39" s="123"/>
      <c r="C39" s="123" t="s">
        <v>265</v>
      </c>
      <c r="D39" s="123" t="s">
        <v>266</v>
      </c>
      <c r="E39" s="123" t="s">
        <v>83</v>
      </c>
      <c r="F39" s="124">
        <v>10.17</v>
      </c>
      <c r="G39" s="124">
        <v>0</v>
      </c>
      <c r="H39" s="124">
        <f>ROUND(F39*AE39,2)</f>
        <v>0</v>
      </c>
      <c r="I39" s="124">
        <f>J39-H39</f>
        <v>0</v>
      </c>
      <c r="J39" s="124">
        <f>ROUND(F39*G39,2)</f>
        <v>0</v>
      </c>
      <c r="K39" s="124">
        <v>0.26167</v>
      </c>
      <c r="L39" s="124">
        <f>F39*K39</f>
        <v>2.6611839</v>
      </c>
      <c r="M39" s="125" t="s">
        <v>195</v>
      </c>
      <c r="N39" s="125" t="s">
        <v>192</v>
      </c>
      <c r="O39" s="124">
        <f>IF(N39="5",I39,0)</f>
        <v>0</v>
      </c>
      <c r="Z39" s="124">
        <f>IF(AD39=0,J39,0)</f>
        <v>0</v>
      </c>
      <c r="AA39" s="124">
        <f>IF(AD39=15,J39,0)</f>
        <v>0</v>
      </c>
      <c r="AB39" s="124">
        <f>IF(AD39=21,J39,0)</f>
        <v>0</v>
      </c>
      <c r="AD39" s="142">
        <v>21</v>
      </c>
      <c r="AE39" s="142">
        <f>G39*0.156043739533051</f>
        <v>0</v>
      </c>
      <c r="AF39" s="142">
        <f>G39*(1-0.156043739533051)</f>
        <v>0</v>
      </c>
      <c r="AM39" s="142">
        <f>F39*AE39</f>
        <v>0</v>
      </c>
      <c r="AN39" s="142">
        <f>F39*AF39</f>
        <v>0</v>
      </c>
      <c r="AO39" s="143" t="s">
        <v>343</v>
      </c>
      <c r="AP39" s="143" t="s">
        <v>341</v>
      </c>
      <c r="AQ39" s="129" t="s">
        <v>328</v>
      </c>
    </row>
    <row r="40" spans="1:43" ht="12.75">
      <c r="A40" s="123" t="s">
        <v>267</v>
      </c>
      <c r="B40" s="123"/>
      <c r="C40" s="123" t="s">
        <v>268</v>
      </c>
      <c r="D40" s="123" t="s">
        <v>269</v>
      </c>
      <c r="E40" s="123" t="s">
        <v>83</v>
      </c>
      <c r="F40" s="124">
        <v>1.44</v>
      </c>
      <c r="G40" s="124">
        <v>0</v>
      </c>
      <c r="H40" s="124">
        <f>ROUND(F40*AE40,2)</f>
        <v>0</v>
      </c>
      <c r="I40" s="124">
        <f>J40-H40</f>
        <v>0</v>
      </c>
      <c r="J40" s="124">
        <f>ROUND(F40*G40,2)</f>
        <v>0</v>
      </c>
      <c r="K40" s="124">
        <v>0.032</v>
      </c>
      <c r="L40" s="124">
        <f>F40*K40</f>
        <v>0.046079999999999996</v>
      </c>
      <c r="M40" s="125" t="s">
        <v>195</v>
      </c>
      <c r="N40" s="125" t="s">
        <v>192</v>
      </c>
      <c r="O40" s="124">
        <f>IF(N40="5",I40,0)</f>
        <v>0</v>
      </c>
      <c r="Z40" s="124">
        <f>IF(AD40=0,J40,0)</f>
        <v>0</v>
      </c>
      <c r="AA40" s="124">
        <f>IF(AD40=15,J40,0)</f>
        <v>0</v>
      </c>
      <c r="AB40" s="124">
        <f>IF(AD40=21,J40,0)</f>
        <v>0</v>
      </c>
      <c r="AD40" s="142">
        <v>21</v>
      </c>
      <c r="AE40" s="142">
        <f>G40*0.226761904761905</f>
        <v>0</v>
      </c>
      <c r="AF40" s="142">
        <f>G40*(1-0.226761904761905)</f>
        <v>0</v>
      </c>
      <c r="AM40" s="142">
        <f>F40*AE40</f>
        <v>0</v>
      </c>
      <c r="AN40" s="142">
        <f>F40*AF40</f>
        <v>0</v>
      </c>
      <c r="AO40" s="143" t="s">
        <v>343</v>
      </c>
      <c r="AP40" s="143" t="s">
        <v>341</v>
      </c>
      <c r="AQ40" s="129" t="s">
        <v>328</v>
      </c>
    </row>
    <row r="41" spans="1:43" ht="12.75">
      <c r="A41" s="123" t="s">
        <v>270</v>
      </c>
      <c r="B41" s="123"/>
      <c r="C41" s="123" t="s">
        <v>271</v>
      </c>
      <c r="D41" s="123" t="s">
        <v>272</v>
      </c>
      <c r="E41" s="123" t="s">
        <v>83</v>
      </c>
      <c r="F41" s="124">
        <v>0.86</v>
      </c>
      <c r="G41" s="124">
        <v>0</v>
      </c>
      <c r="H41" s="124">
        <f>ROUND(F41*AE41,2)</f>
        <v>0</v>
      </c>
      <c r="I41" s="124">
        <f>J41-H41</f>
        <v>0</v>
      </c>
      <c r="J41" s="124">
        <f>ROUND(F41*G41,2)</f>
        <v>0</v>
      </c>
      <c r="K41" s="124">
        <v>0.01219</v>
      </c>
      <c r="L41" s="124">
        <f>F41*K41</f>
        <v>0.010483399999999999</v>
      </c>
      <c r="M41" s="125" t="s">
        <v>195</v>
      </c>
      <c r="N41" s="125" t="s">
        <v>192</v>
      </c>
      <c r="O41" s="124">
        <f>IF(N41="5",I41,0)</f>
        <v>0</v>
      </c>
      <c r="Z41" s="124">
        <f>IF(AD41=0,J41,0)</f>
        <v>0</v>
      </c>
      <c r="AA41" s="124">
        <f>IF(AD41=15,J41,0)</f>
        <v>0</v>
      </c>
      <c r="AB41" s="124">
        <f>IF(AD41=21,J41,0)</f>
        <v>0</v>
      </c>
      <c r="AD41" s="142">
        <v>21</v>
      </c>
      <c r="AE41" s="142">
        <f>G41*0.28761915257039</f>
        <v>0</v>
      </c>
      <c r="AF41" s="142">
        <f>G41*(1-0.28761915257039)</f>
        <v>0</v>
      </c>
      <c r="AM41" s="142">
        <f>F41*AE41</f>
        <v>0</v>
      </c>
      <c r="AN41" s="142">
        <f>F41*AF41</f>
        <v>0</v>
      </c>
      <c r="AO41" s="143" t="s">
        <v>343</v>
      </c>
      <c r="AP41" s="143" t="s">
        <v>341</v>
      </c>
      <c r="AQ41" s="129" t="s">
        <v>328</v>
      </c>
    </row>
    <row r="42" spans="1:43" ht="12.75">
      <c r="A42" s="123" t="s">
        <v>273</v>
      </c>
      <c r="B42" s="123"/>
      <c r="C42" s="123" t="s">
        <v>274</v>
      </c>
      <c r="D42" s="123" t="s">
        <v>275</v>
      </c>
      <c r="E42" s="123" t="s">
        <v>83</v>
      </c>
      <c r="F42" s="124">
        <v>9</v>
      </c>
      <c r="G42" s="124">
        <v>0</v>
      </c>
      <c r="H42" s="124">
        <f>ROUND(F42*AE42,2)</f>
        <v>0</v>
      </c>
      <c r="I42" s="124">
        <f>J42-H42</f>
        <v>0</v>
      </c>
      <c r="J42" s="124">
        <f>ROUND(F42*G42,2)</f>
        <v>0</v>
      </c>
      <c r="K42" s="124">
        <v>0.02</v>
      </c>
      <c r="L42" s="124">
        <f>F42*K42</f>
        <v>0.18</v>
      </c>
      <c r="M42" s="125" t="s">
        <v>195</v>
      </c>
      <c r="N42" s="125" t="s">
        <v>192</v>
      </c>
      <c r="O42" s="124">
        <f>IF(N42="5",I42,0)</f>
        <v>0</v>
      </c>
      <c r="Z42" s="124">
        <f>IF(AD42=0,J42,0)</f>
        <v>0</v>
      </c>
      <c r="AA42" s="124">
        <f>IF(AD42=15,J42,0)</f>
        <v>0</v>
      </c>
      <c r="AB42" s="124">
        <f>IF(AD42=21,J42,0)</f>
        <v>0</v>
      </c>
      <c r="AD42" s="142">
        <v>21</v>
      </c>
      <c r="AE42" s="142">
        <f>G42*0</f>
        <v>0</v>
      </c>
      <c r="AF42" s="142">
        <f>G42*(1-0)</f>
        <v>0</v>
      </c>
      <c r="AM42" s="142">
        <f>F42*AE42</f>
        <v>0</v>
      </c>
      <c r="AN42" s="142">
        <f>F42*AF42</f>
        <v>0</v>
      </c>
      <c r="AO42" s="143" t="s">
        <v>343</v>
      </c>
      <c r="AP42" s="143" t="s">
        <v>341</v>
      </c>
      <c r="AQ42" s="129" t="s">
        <v>328</v>
      </c>
    </row>
    <row r="43" spans="1:37" ht="12.75">
      <c r="A43" s="126"/>
      <c r="B43" s="127"/>
      <c r="C43" s="127" t="s">
        <v>276</v>
      </c>
      <c r="D43" s="190" t="s">
        <v>277</v>
      </c>
      <c r="E43" s="191"/>
      <c r="F43" s="191"/>
      <c r="G43" s="191"/>
      <c r="H43" s="128">
        <f>SUM(H44:H44)</f>
        <v>0</v>
      </c>
      <c r="I43" s="128">
        <f>SUM(I44:I44)</f>
        <v>0</v>
      </c>
      <c r="J43" s="128">
        <f>H43+I43</f>
        <v>0</v>
      </c>
      <c r="K43" s="129"/>
      <c r="L43" s="128">
        <f>SUM(L44:L44)</f>
        <v>0</v>
      </c>
      <c r="M43" s="129"/>
      <c r="P43" s="128">
        <f>IF(Q43="PR",J43,SUM(O44:O44))</f>
        <v>0</v>
      </c>
      <c r="Q43" s="129" t="s">
        <v>325</v>
      </c>
      <c r="R43" s="128">
        <f>IF(Q43="HS",H43,0)</f>
        <v>0</v>
      </c>
      <c r="S43" s="128">
        <f>IF(Q43="HS",I43-P43,0)</f>
        <v>0</v>
      </c>
      <c r="T43" s="128">
        <f>IF(Q43="PS",H43,0)</f>
        <v>0</v>
      </c>
      <c r="U43" s="128">
        <f>IF(Q43="PS",I43-P43,0)</f>
        <v>0</v>
      </c>
      <c r="V43" s="128">
        <f>IF(Q43="MP",H43,0)</f>
        <v>0</v>
      </c>
      <c r="W43" s="128">
        <f>IF(Q43="MP",I43-P43,0)</f>
        <v>0</v>
      </c>
      <c r="X43" s="128">
        <f>IF(Q43="OM",H43,0)</f>
        <v>0</v>
      </c>
      <c r="Y43" s="129"/>
      <c r="AI43" s="128">
        <f>SUM(Z44:Z44)</f>
        <v>0</v>
      </c>
      <c r="AJ43" s="128">
        <f>SUM(AA44:AA44)</f>
        <v>0</v>
      </c>
      <c r="AK43" s="128">
        <f>SUM(AB44:AB44)</f>
        <v>0</v>
      </c>
    </row>
    <row r="44" spans="1:43" ht="12.75">
      <c r="A44" s="123" t="s">
        <v>278</v>
      </c>
      <c r="B44" s="123"/>
      <c r="C44" s="123" t="s">
        <v>279</v>
      </c>
      <c r="D44" s="123" t="s">
        <v>280</v>
      </c>
      <c r="E44" s="123" t="s">
        <v>281</v>
      </c>
      <c r="F44" s="124">
        <v>2.11</v>
      </c>
      <c r="G44" s="124">
        <v>0</v>
      </c>
      <c r="H44" s="124">
        <f>ROUND(F44*AE44,2)</f>
        <v>0</v>
      </c>
      <c r="I44" s="124">
        <f>J44-H44</f>
        <v>0</v>
      </c>
      <c r="J44" s="124">
        <f>ROUND(F44*G44,2)</f>
        <v>0</v>
      </c>
      <c r="K44" s="124">
        <v>0</v>
      </c>
      <c r="L44" s="124">
        <f>F44*K44</f>
        <v>0</v>
      </c>
      <c r="M44" s="125" t="s">
        <v>195</v>
      </c>
      <c r="N44" s="125" t="s">
        <v>209</v>
      </c>
      <c r="O44" s="124">
        <f>IF(N44="5",I44,0)</f>
        <v>0</v>
      </c>
      <c r="Z44" s="124">
        <f>IF(AD44=0,J44,0)</f>
        <v>0</v>
      </c>
      <c r="AA44" s="124">
        <f>IF(AD44=15,J44,0)</f>
        <v>0</v>
      </c>
      <c r="AB44" s="124">
        <f>IF(AD44=21,J44,0)</f>
        <v>0</v>
      </c>
      <c r="AD44" s="142">
        <v>21</v>
      </c>
      <c r="AE44" s="142">
        <f>G44*0</f>
        <v>0</v>
      </c>
      <c r="AF44" s="142">
        <f>G44*(1-0)</f>
        <v>0</v>
      </c>
      <c r="AM44" s="142">
        <f>F44*AE44</f>
        <v>0</v>
      </c>
      <c r="AN44" s="142">
        <f>F44*AF44</f>
        <v>0</v>
      </c>
      <c r="AO44" s="143" t="s">
        <v>344</v>
      </c>
      <c r="AP44" s="143" t="s">
        <v>341</v>
      </c>
      <c r="AQ44" s="129" t="s">
        <v>328</v>
      </c>
    </row>
    <row r="45" spans="1:37" ht="12.75">
      <c r="A45" s="126"/>
      <c r="B45" s="127"/>
      <c r="C45" s="127" t="s">
        <v>282</v>
      </c>
      <c r="D45" s="190" t="s">
        <v>225</v>
      </c>
      <c r="E45" s="191"/>
      <c r="F45" s="191"/>
      <c r="G45" s="191"/>
      <c r="H45" s="128">
        <f>SUM(H46:H46)</f>
        <v>0</v>
      </c>
      <c r="I45" s="128">
        <f>SUM(I46:I46)</f>
        <v>0</v>
      </c>
      <c r="J45" s="128">
        <f>H45+I45</f>
        <v>0</v>
      </c>
      <c r="K45" s="129"/>
      <c r="L45" s="128">
        <f>SUM(L46:L46)</f>
        <v>0</v>
      </c>
      <c r="M45" s="129"/>
      <c r="P45" s="128">
        <f>IF(Q45="PR",J45,SUM(O46:O46))</f>
        <v>0</v>
      </c>
      <c r="Q45" s="129" t="s">
        <v>325</v>
      </c>
      <c r="R45" s="128">
        <f>IF(Q45="HS",H45,0)</f>
        <v>0</v>
      </c>
      <c r="S45" s="128">
        <f>IF(Q45="HS",I45-P45,0)</f>
        <v>0</v>
      </c>
      <c r="T45" s="128">
        <f>IF(Q45="PS",H45,0)</f>
        <v>0</v>
      </c>
      <c r="U45" s="128">
        <f>IF(Q45="PS",I45-P45,0)</f>
        <v>0</v>
      </c>
      <c r="V45" s="128">
        <f>IF(Q45="MP",H45,0)</f>
        <v>0</v>
      </c>
      <c r="W45" s="128">
        <f>IF(Q45="MP",I45-P45,0)</f>
        <v>0</v>
      </c>
      <c r="X45" s="128">
        <f>IF(Q45="OM",H45,0)</f>
        <v>0</v>
      </c>
      <c r="Y45" s="129"/>
      <c r="AI45" s="128">
        <f>SUM(Z46:Z46)</f>
        <v>0</v>
      </c>
      <c r="AJ45" s="128">
        <f>SUM(AA46:AA46)</f>
        <v>0</v>
      </c>
      <c r="AK45" s="128">
        <f>SUM(AB46:AB46)</f>
        <v>0</v>
      </c>
    </row>
    <row r="46" spans="1:43" ht="12.75">
      <c r="A46" s="123" t="s">
        <v>283</v>
      </c>
      <c r="B46" s="123"/>
      <c r="C46" s="123" t="s">
        <v>284</v>
      </c>
      <c r="D46" s="123" t="s">
        <v>285</v>
      </c>
      <c r="E46" s="123" t="s">
        <v>281</v>
      </c>
      <c r="F46" s="124">
        <v>0.2496</v>
      </c>
      <c r="G46" s="124">
        <v>0</v>
      </c>
      <c r="H46" s="124">
        <f>ROUND(F46*AE46,2)</f>
        <v>0</v>
      </c>
      <c r="I46" s="124">
        <f>J46-H46</f>
        <v>0</v>
      </c>
      <c r="J46" s="124">
        <f>ROUND(F46*G46,2)</f>
        <v>0</v>
      </c>
      <c r="K46" s="124">
        <v>0</v>
      </c>
      <c r="L46" s="124">
        <f>F46*K46</f>
        <v>0</v>
      </c>
      <c r="M46" s="125" t="s">
        <v>195</v>
      </c>
      <c r="N46" s="125" t="s">
        <v>209</v>
      </c>
      <c r="O46" s="124">
        <f>IF(N46="5",I46,0)</f>
        <v>0</v>
      </c>
      <c r="Z46" s="124">
        <f>IF(AD46=0,J46,0)</f>
        <v>0</v>
      </c>
      <c r="AA46" s="124">
        <f>IF(AD46=15,J46,0)</f>
        <v>0</v>
      </c>
      <c r="AB46" s="124">
        <f>IF(AD46=21,J46,0)</f>
        <v>0</v>
      </c>
      <c r="AD46" s="142">
        <v>21</v>
      </c>
      <c r="AE46" s="142">
        <f>G46*0</f>
        <v>0</v>
      </c>
      <c r="AF46" s="142">
        <f>G46*(1-0)</f>
        <v>0</v>
      </c>
      <c r="AM46" s="142">
        <f>F46*AE46</f>
        <v>0</v>
      </c>
      <c r="AN46" s="142">
        <f>F46*AF46</f>
        <v>0</v>
      </c>
      <c r="AO46" s="143" t="s">
        <v>345</v>
      </c>
      <c r="AP46" s="143" t="s">
        <v>341</v>
      </c>
      <c r="AQ46" s="129" t="s">
        <v>328</v>
      </c>
    </row>
    <row r="47" spans="1:37" ht="12.75">
      <c r="A47" s="126"/>
      <c r="B47" s="127"/>
      <c r="C47" s="127" t="s">
        <v>286</v>
      </c>
      <c r="D47" s="190" t="s">
        <v>287</v>
      </c>
      <c r="E47" s="191"/>
      <c r="F47" s="191"/>
      <c r="G47" s="191"/>
      <c r="H47" s="128">
        <f>SUM(H48:H51)</f>
        <v>0</v>
      </c>
      <c r="I47" s="128">
        <f>SUM(I48:I51)</f>
        <v>0</v>
      </c>
      <c r="J47" s="128">
        <f>H47+I47</f>
        <v>0</v>
      </c>
      <c r="K47" s="129"/>
      <c r="L47" s="128">
        <f>SUM(L48:L51)</f>
        <v>0</v>
      </c>
      <c r="M47" s="129"/>
      <c r="P47" s="128">
        <f>IF(Q47="PR",J47,SUM(O48:O51))</f>
        <v>0</v>
      </c>
      <c r="Q47" s="129" t="s">
        <v>325</v>
      </c>
      <c r="R47" s="128">
        <f>IF(Q47="HS",H47,0)</f>
        <v>0</v>
      </c>
      <c r="S47" s="128">
        <f>IF(Q47="HS",I47-P47,0)</f>
        <v>0</v>
      </c>
      <c r="T47" s="128">
        <f>IF(Q47="PS",H47,0)</f>
        <v>0</v>
      </c>
      <c r="U47" s="128">
        <f>IF(Q47="PS",I47-P47,0)</f>
        <v>0</v>
      </c>
      <c r="V47" s="128">
        <f>IF(Q47="MP",H47,0)</f>
        <v>0</v>
      </c>
      <c r="W47" s="128">
        <f>IF(Q47="MP",I47-P47,0)</f>
        <v>0</v>
      </c>
      <c r="X47" s="128">
        <f>IF(Q47="OM",H47,0)</f>
        <v>0</v>
      </c>
      <c r="Y47" s="129"/>
      <c r="AI47" s="128">
        <f>SUM(Z48:Z51)</f>
        <v>0</v>
      </c>
      <c r="AJ47" s="128">
        <f>SUM(AA48:AA51)</f>
        <v>0</v>
      </c>
      <c r="AK47" s="128">
        <f>SUM(AB48:AB51)</f>
        <v>0</v>
      </c>
    </row>
    <row r="48" spans="1:43" ht="12.75">
      <c r="A48" s="123" t="s">
        <v>288</v>
      </c>
      <c r="B48" s="123"/>
      <c r="C48" s="123" t="s">
        <v>289</v>
      </c>
      <c r="D48" s="123" t="s">
        <v>290</v>
      </c>
      <c r="E48" s="123" t="s">
        <v>281</v>
      </c>
      <c r="F48" s="124">
        <v>2.8977</v>
      </c>
      <c r="G48" s="124">
        <v>0</v>
      </c>
      <c r="H48" s="124">
        <f>ROUND(F48*AE48,2)</f>
        <v>0</v>
      </c>
      <c r="I48" s="124">
        <f>J48-H48</f>
        <v>0</v>
      </c>
      <c r="J48" s="124">
        <f>ROUND(F48*G48,2)</f>
        <v>0</v>
      </c>
      <c r="K48" s="124">
        <v>0</v>
      </c>
      <c r="L48" s="124">
        <f>F48*K48</f>
        <v>0</v>
      </c>
      <c r="M48" s="125" t="s">
        <v>195</v>
      </c>
      <c r="N48" s="125" t="s">
        <v>209</v>
      </c>
      <c r="O48" s="124">
        <f>IF(N48="5",I48,0)</f>
        <v>0</v>
      </c>
      <c r="Z48" s="124">
        <f>IF(AD48=0,J48,0)</f>
        <v>0</v>
      </c>
      <c r="AA48" s="124">
        <f>IF(AD48=15,J48,0)</f>
        <v>0</v>
      </c>
      <c r="AB48" s="124">
        <f>IF(AD48=21,J48,0)</f>
        <v>0</v>
      </c>
      <c r="AD48" s="142">
        <v>21</v>
      </c>
      <c r="AE48" s="142">
        <f>G48*0</f>
        <v>0</v>
      </c>
      <c r="AF48" s="142">
        <f>G48*(1-0)</f>
        <v>0</v>
      </c>
      <c r="AM48" s="142">
        <f>F48*AE48</f>
        <v>0</v>
      </c>
      <c r="AN48" s="142">
        <f>F48*AF48</f>
        <v>0</v>
      </c>
      <c r="AO48" s="143" t="s">
        <v>346</v>
      </c>
      <c r="AP48" s="143" t="s">
        <v>341</v>
      </c>
      <c r="AQ48" s="129" t="s">
        <v>328</v>
      </c>
    </row>
    <row r="49" spans="1:43" ht="12.75">
      <c r="A49" s="123" t="s">
        <v>291</v>
      </c>
      <c r="B49" s="123"/>
      <c r="C49" s="123" t="s">
        <v>292</v>
      </c>
      <c r="D49" s="123" t="s">
        <v>293</v>
      </c>
      <c r="E49" s="123" t="s">
        <v>281</v>
      </c>
      <c r="F49" s="124">
        <v>2.8977</v>
      </c>
      <c r="G49" s="124">
        <v>0</v>
      </c>
      <c r="H49" s="124">
        <f>ROUND(F49*AE49,2)</f>
        <v>0</v>
      </c>
      <c r="I49" s="124">
        <f>J49-H49</f>
        <v>0</v>
      </c>
      <c r="J49" s="124">
        <f>ROUND(F49*G49,2)</f>
        <v>0</v>
      </c>
      <c r="K49" s="124">
        <v>0</v>
      </c>
      <c r="L49" s="124">
        <f>F49*K49</f>
        <v>0</v>
      </c>
      <c r="M49" s="125" t="s">
        <v>195</v>
      </c>
      <c r="N49" s="125" t="s">
        <v>209</v>
      </c>
      <c r="O49" s="124">
        <f>IF(N49="5",I49,0)</f>
        <v>0</v>
      </c>
      <c r="Z49" s="124">
        <f>IF(AD49=0,J49,0)</f>
        <v>0</v>
      </c>
      <c r="AA49" s="124">
        <f>IF(AD49=15,J49,0)</f>
        <v>0</v>
      </c>
      <c r="AB49" s="124">
        <f>IF(AD49=21,J49,0)</f>
        <v>0</v>
      </c>
      <c r="AD49" s="142">
        <v>21</v>
      </c>
      <c r="AE49" s="142">
        <f>G49*0.00914225092826609</f>
        <v>0</v>
      </c>
      <c r="AF49" s="142">
        <f>G49*(1-0.00914225092826609)</f>
        <v>0</v>
      </c>
      <c r="AM49" s="142">
        <f>F49*AE49</f>
        <v>0</v>
      </c>
      <c r="AN49" s="142">
        <f>F49*AF49</f>
        <v>0</v>
      </c>
      <c r="AO49" s="143" t="s">
        <v>346</v>
      </c>
      <c r="AP49" s="143" t="s">
        <v>341</v>
      </c>
      <c r="AQ49" s="129" t="s">
        <v>328</v>
      </c>
    </row>
    <row r="50" spans="1:43" ht="12.75">
      <c r="A50" s="123" t="s">
        <v>294</v>
      </c>
      <c r="B50" s="123"/>
      <c r="C50" s="123" t="s">
        <v>295</v>
      </c>
      <c r="D50" s="123" t="s">
        <v>296</v>
      </c>
      <c r="E50" s="123" t="s">
        <v>281</v>
      </c>
      <c r="F50" s="124">
        <v>2.8977</v>
      </c>
      <c r="G50" s="124">
        <v>0</v>
      </c>
      <c r="H50" s="124">
        <f>ROUND(F50*AE50,2)</f>
        <v>0</v>
      </c>
      <c r="I50" s="124">
        <f>J50-H50</f>
        <v>0</v>
      </c>
      <c r="J50" s="124">
        <f>ROUND(F50*G50,2)</f>
        <v>0</v>
      </c>
      <c r="K50" s="124">
        <v>0</v>
      </c>
      <c r="L50" s="124">
        <f>F50*K50</f>
        <v>0</v>
      </c>
      <c r="M50" s="125" t="s">
        <v>195</v>
      </c>
      <c r="N50" s="125" t="s">
        <v>209</v>
      </c>
      <c r="O50" s="124">
        <f>IF(N50="5",I50,0)</f>
        <v>0</v>
      </c>
      <c r="Z50" s="124">
        <f>IF(AD50=0,J50,0)</f>
        <v>0</v>
      </c>
      <c r="AA50" s="124">
        <f>IF(AD50=15,J50,0)</f>
        <v>0</v>
      </c>
      <c r="AB50" s="124">
        <f>IF(AD50=21,J50,0)</f>
        <v>0</v>
      </c>
      <c r="AD50" s="142">
        <v>21</v>
      </c>
      <c r="AE50" s="142">
        <f>G50*0</f>
        <v>0</v>
      </c>
      <c r="AF50" s="142">
        <f>G50*(1-0)</f>
        <v>0</v>
      </c>
      <c r="AM50" s="142">
        <f>F50*AE50</f>
        <v>0</v>
      </c>
      <c r="AN50" s="142">
        <f>F50*AF50</f>
        <v>0</v>
      </c>
      <c r="AO50" s="143" t="s">
        <v>346</v>
      </c>
      <c r="AP50" s="143" t="s">
        <v>341</v>
      </c>
      <c r="AQ50" s="129" t="s">
        <v>328</v>
      </c>
    </row>
    <row r="51" spans="1:43" ht="12.75">
      <c r="A51" s="123" t="s">
        <v>297</v>
      </c>
      <c r="B51" s="123"/>
      <c r="C51" s="123" t="s">
        <v>298</v>
      </c>
      <c r="D51" s="123" t="s">
        <v>299</v>
      </c>
      <c r="E51" s="123" t="s">
        <v>281</v>
      </c>
      <c r="F51" s="124">
        <v>2.8977</v>
      </c>
      <c r="G51" s="124">
        <v>0</v>
      </c>
      <c r="H51" s="124">
        <f>ROUND(F51*AE51,2)</f>
        <v>0</v>
      </c>
      <c r="I51" s="124">
        <f>J51-H51</f>
        <v>0</v>
      </c>
      <c r="J51" s="124">
        <f>ROUND(F51*G51,2)</f>
        <v>0</v>
      </c>
      <c r="K51" s="124">
        <v>0</v>
      </c>
      <c r="L51" s="124">
        <f>F51*K51</f>
        <v>0</v>
      </c>
      <c r="M51" s="125" t="s">
        <v>195</v>
      </c>
      <c r="N51" s="125" t="s">
        <v>209</v>
      </c>
      <c r="O51" s="124">
        <f>IF(N51="5",I51,0)</f>
        <v>0</v>
      </c>
      <c r="Z51" s="124">
        <f>IF(AD51=0,J51,0)</f>
        <v>0</v>
      </c>
      <c r="AA51" s="124">
        <f>IF(AD51=15,J51,0)</f>
        <v>0</v>
      </c>
      <c r="AB51" s="124">
        <f>IF(AD51=21,J51,0)</f>
        <v>0</v>
      </c>
      <c r="AD51" s="142">
        <v>21</v>
      </c>
      <c r="AE51" s="142">
        <f>G51*0</f>
        <v>0</v>
      </c>
      <c r="AF51" s="142">
        <f>G51*(1-0)</f>
        <v>0</v>
      </c>
      <c r="AM51" s="142">
        <f>F51*AE51</f>
        <v>0</v>
      </c>
      <c r="AN51" s="142">
        <f>F51*AF51</f>
        <v>0</v>
      </c>
      <c r="AO51" s="143" t="s">
        <v>346</v>
      </c>
      <c r="AP51" s="143" t="s">
        <v>341</v>
      </c>
      <c r="AQ51" s="129" t="s">
        <v>328</v>
      </c>
    </row>
    <row r="52" spans="1:37" ht="12.75">
      <c r="A52" s="126"/>
      <c r="B52" s="127"/>
      <c r="C52" s="127"/>
      <c r="D52" s="190" t="s">
        <v>300</v>
      </c>
      <c r="E52" s="191"/>
      <c r="F52" s="191"/>
      <c r="G52" s="191"/>
      <c r="H52" s="128">
        <f>SUM(H53:H58)</f>
        <v>0</v>
      </c>
      <c r="I52" s="128">
        <f>SUM(I53:I58)</f>
        <v>0</v>
      </c>
      <c r="J52" s="128">
        <f>H52+I52</f>
        <v>0</v>
      </c>
      <c r="K52" s="129"/>
      <c r="L52" s="128">
        <f>SUM(L53:L58)</f>
        <v>0.028</v>
      </c>
      <c r="M52" s="129"/>
      <c r="P52" s="128">
        <f>IF(Q52="PR",J52,SUM(O53:O58))</f>
        <v>0</v>
      </c>
      <c r="Q52" s="129" t="s">
        <v>347</v>
      </c>
      <c r="R52" s="128">
        <f>IF(Q52="HS",H52,0)</f>
        <v>0</v>
      </c>
      <c r="S52" s="128">
        <f>IF(Q52="HS",I52-P52,0)</f>
        <v>0</v>
      </c>
      <c r="T52" s="128">
        <f>IF(Q52="PS",H52,0)</f>
        <v>0</v>
      </c>
      <c r="U52" s="128">
        <f>IF(Q52="PS",I52-P52,0)</f>
        <v>0</v>
      </c>
      <c r="V52" s="128">
        <f>IF(Q52="MP",H52,0)</f>
        <v>0</v>
      </c>
      <c r="W52" s="128">
        <f>IF(Q52="MP",I52-P52,0)</f>
        <v>0</v>
      </c>
      <c r="X52" s="128">
        <f>IF(Q52="OM",H52,0)</f>
        <v>0</v>
      </c>
      <c r="Y52" s="129"/>
      <c r="AI52" s="128">
        <f>SUM(Z53:Z58)</f>
        <v>0</v>
      </c>
      <c r="AJ52" s="128">
        <f>SUM(AA53:AA58)</f>
        <v>0</v>
      </c>
      <c r="AK52" s="128">
        <f>SUM(AB53:AB58)</f>
        <v>0</v>
      </c>
    </row>
    <row r="53" spans="1:43" ht="12.75">
      <c r="A53" s="130" t="s">
        <v>301</v>
      </c>
      <c r="B53" s="130"/>
      <c r="C53" s="130" t="s">
        <v>302</v>
      </c>
      <c r="D53" s="130" t="s">
        <v>303</v>
      </c>
      <c r="E53" s="130" t="s">
        <v>212</v>
      </c>
      <c r="F53" s="131">
        <v>1</v>
      </c>
      <c r="G53" s="131">
        <v>0</v>
      </c>
      <c r="H53" s="131">
        <f aca="true" t="shared" si="0" ref="H53:H58">ROUND(F53*AE53,2)</f>
        <v>0</v>
      </c>
      <c r="I53" s="131">
        <f aca="true" t="shared" si="1" ref="I53:I58">J53-H53</f>
        <v>0</v>
      </c>
      <c r="J53" s="131">
        <f aca="true" t="shared" si="2" ref="J53:J58">ROUND(F53*G53,2)</f>
        <v>0</v>
      </c>
      <c r="K53" s="131">
        <v>0.028</v>
      </c>
      <c r="L53" s="131">
        <f aca="true" t="shared" si="3" ref="L53:L58">F53*K53</f>
        <v>0.028</v>
      </c>
      <c r="M53" s="132" t="s">
        <v>195</v>
      </c>
      <c r="N53" s="132" t="s">
        <v>337</v>
      </c>
      <c r="O53" s="131">
        <f aca="true" t="shared" si="4" ref="O53:O58">IF(N53="5",I53,0)</f>
        <v>0</v>
      </c>
      <c r="Z53" s="131">
        <f aca="true" t="shared" si="5" ref="Z53:Z58">IF(AD53=0,J53,0)</f>
        <v>0</v>
      </c>
      <c r="AA53" s="131">
        <f aca="true" t="shared" si="6" ref="AA53:AA58">IF(AD53=15,J53,0)</f>
        <v>0</v>
      </c>
      <c r="AB53" s="131">
        <f aca="true" t="shared" si="7" ref="AB53:AB58">IF(AD53=21,J53,0)</f>
        <v>0</v>
      </c>
      <c r="AD53" s="142">
        <v>21</v>
      </c>
      <c r="AE53" s="142">
        <f aca="true" t="shared" si="8" ref="AE53:AE58">G53*1</f>
        <v>0</v>
      </c>
      <c r="AF53" s="142">
        <f aca="true" t="shared" si="9" ref="AF53:AF58">G53*(1-1)</f>
        <v>0</v>
      </c>
      <c r="AM53" s="142">
        <f aca="true" t="shared" si="10" ref="AM53:AM58">F53*AE53</f>
        <v>0</v>
      </c>
      <c r="AN53" s="142">
        <f aca="true" t="shared" si="11" ref="AN53:AN58">F53*AF53</f>
        <v>0</v>
      </c>
      <c r="AO53" s="143" t="s">
        <v>348</v>
      </c>
      <c r="AP53" s="143" t="s">
        <v>349</v>
      </c>
      <c r="AQ53" s="129" t="s">
        <v>328</v>
      </c>
    </row>
    <row r="54" spans="1:43" ht="25.5">
      <c r="A54" s="130" t="s">
        <v>304</v>
      </c>
      <c r="B54" s="130"/>
      <c r="C54" s="130" t="s">
        <v>305</v>
      </c>
      <c r="D54" s="163" t="s">
        <v>383</v>
      </c>
      <c r="E54" s="130" t="s">
        <v>108</v>
      </c>
      <c r="F54" s="131">
        <v>1</v>
      </c>
      <c r="G54" s="131">
        <v>0</v>
      </c>
      <c r="H54" s="131">
        <f t="shared" si="0"/>
        <v>0</v>
      </c>
      <c r="I54" s="131">
        <f t="shared" si="1"/>
        <v>0</v>
      </c>
      <c r="J54" s="131">
        <f t="shared" si="2"/>
        <v>0</v>
      </c>
      <c r="K54" s="131">
        <v>0</v>
      </c>
      <c r="L54" s="131">
        <f t="shared" si="3"/>
        <v>0</v>
      </c>
      <c r="M54" s="132"/>
      <c r="N54" s="132" t="s">
        <v>337</v>
      </c>
      <c r="O54" s="131">
        <f t="shared" si="4"/>
        <v>0</v>
      </c>
      <c r="Z54" s="131">
        <f t="shared" si="5"/>
        <v>0</v>
      </c>
      <c r="AA54" s="131">
        <f t="shared" si="6"/>
        <v>0</v>
      </c>
      <c r="AB54" s="131">
        <f t="shared" si="7"/>
        <v>0</v>
      </c>
      <c r="AD54" s="142">
        <v>21</v>
      </c>
      <c r="AE54" s="142">
        <f t="shared" si="8"/>
        <v>0</v>
      </c>
      <c r="AF54" s="142">
        <f t="shared" si="9"/>
        <v>0</v>
      </c>
      <c r="AM54" s="142">
        <f t="shared" si="10"/>
        <v>0</v>
      </c>
      <c r="AN54" s="142">
        <f t="shared" si="11"/>
        <v>0</v>
      </c>
      <c r="AO54" s="143" t="s">
        <v>348</v>
      </c>
      <c r="AP54" s="143" t="s">
        <v>349</v>
      </c>
      <c r="AQ54" s="129" t="s">
        <v>328</v>
      </c>
    </row>
    <row r="55" spans="1:43" ht="89.25">
      <c r="A55" s="130" t="s">
        <v>306</v>
      </c>
      <c r="B55" s="130"/>
      <c r="C55" s="130" t="s">
        <v>307</v>
      </c>
      <c r="D55" s="163" t="s">
        <v>379</v>
      </c>
      <c r="E55" s="130" t="s">
        <v>212</v>
      </c>
      <c r="F55" s="131">
        <v>3</v>
      </c>
      <c r="G55" s="131">
        <v>0</v>
      </c>
      <c r="H55" s="131">
        <f t="shared" si="0"/>
        <v>0</v>
      </c>
      <c r="I55" s="131">
        <f t="shared" si="1"/>
        <v>0</v>
      </c>
      <c r="J55" s="131">
        <f t="shared" si="2"/>
        <v>0</v>
      </c>
      <c r="K55" s="131">
        <v>0</v>
      </c>
      <c r="L55" s="131">
        <f t="shared" si="3"/>
        <v>0</v>
      </c>
      <c r="M55" s="132"/>
      <c r="N55" s="132" t="s">
        <v>337</v>
      </c>
      <c r="O55" s="131">
        <f t="shared" si="4"/>
        <v>0</v>
      </c>
      <c r="Z55" s="131">
        <f t="shared" si="5"/>
        <v>0</v>
      </c>
      <c r="AA55" s="131">
        <f t="shared" si="6"/>
        <v>0</v>
      </c>
      <c r="AB55" s="131">
        <f t="shared" si="7"/>
        <v>0</v>
      </c>
      <c r="AD55" s="142">
        <v>21</v>
      </c>
      <c r="AE55" s="142">
        <f t="shared" si="8"/>
        <v>0</v>
      </c>
      <c r="AF55" s="142">
        <f t="shared" si="9"/>
        <v>0</v>
      </c>
      <c r="AM55" s="142">
        <f t="shared" si="10"/>
        <v>0</v>
      </c>
      <c r="AN55" s="142">
        <f t="shared" si="11"/>
        <v>0</v>
      </c>
      <c r="AO55" s="143" t="s">
        <v>348</v>
      </c>
      <c r="AP55" s="143" t="s">
        <v>349</v>
      </c>
      <c r="AQ55" s="129" t="s">
        <v>328</v>
      </c>
    </row>
    <row r="56" spans="1:43" ht="25.5">
      <c r="A56" s="130" t="s">
        <v>190</v>
      </c>
      <c r="B56" s="130"/>
      <c r="C56" s="130" t="s">
        <v>308</v>
      </c>
      <c r="D56" s="163" t="s">
        <v>380</v>
      </c>
      <c r="E56" s="130" t="s">
        <v>212</v>
      </c>
      <c r="F56" s="131">
        <v>1</v>
      </c>
      <c r="G56" s="131">
        <v>0</v>
      </c>
      <c r="H56" s="131">
        <f t="shared" si="0"/>
        <v>0</v>
      </c>
      <c r="I56" s="131">
        <f t="shared" si="1"/>
        <v>0</v>
      </c>
      <c r="J56" s="131">
        <f t="shared" si="2"/>
        <v>0</v>
      </c>
      <c r="K56" s="131">
        <v>0</v>
      </c>
      <c r="L56" s="131">
        <f t="shared" si="3"/>
        <v>0</v>
      </c>
      <c r="M56" s="132"/>
      <c r="N56" s="132" t="s">
        <v>337</v>
      </c>
      <c r="O56" s="131">
        <f t="shared" si="4"/>
        <v>0</v>
      </c>
      <c r="Z56" s="131">
        <f t="shared" si="5"/>
        <v>0</v>
      </c>
      <c r="AA56" s="131">
        <f t="shared" si="6"/>
        <v>0</v>
      </c>
      <c r="AB56" s="131">
        <f t="shared" si="7"/>
        <v>0</v>
      </c>
      <c r="AD56" s="142">
        <v>21</v>
      </c>
      <c r="AE56" s="142">
        <f t="shared" si="8"/>
        <v>0</v>
      </c>
      <c r="AF56" s="142">
        <f t="shared" si="9"/>
        <v>0</v>
      </c>
      <c r="AM56" s="142">
        <f t="shared" si="10"/>
        <v>0</v>
      </c>
      <c r="AN56" s="142">
        <f t="shared" si="11"/>
        <v>0</v>
      </c>
      <c r="AO56" s="143" t="s">
        <v>348</v>
      </c>
      <c r="AP56" s="143" t="s">
        <v>349</v>
      </c>
      <c r="AQ56" s="129" t="s">
        <v>328</v>
      </c>
    </row>
    <row r="57" spans="1:43" ht="12.75">
      <c r="A57" s="130" t="s">
        <v>309</v>
      </c>
      <c r="B57" s="130"/>
      <c r="C57" s="130" t="s">
        <v>310</v>
      </c>
      <c r="D57" s="130" t="s">
        <v>381</v>
      </c>
      <c r="E57" s="130" t="s">
        <v>212</v>
      </c>
      <c r="F57" s="131">
        <v>2</v>
      </c>
      <c r="G57" s="131">
        <v>0</v>
      </c>
      <c r="H57" s="131">
        <f t="shared" si="0"/>
        <v>0</v>
      </c>
      <c r="I57" s="131">
        <f t="shared" si="1"/>
        <v>0</v>
      </c>
      <c r="J57" s="131">
        <f t="shared" si="2"/>
        <v>0</v>
      </c>
      <c r="K57" s="131">
        <v>0</v>
      </c>
      <c r="L57" s="131">
        <f t="shared" si="3"/>
        <v>0</v>
      </c>
      <c r="M57" s="132"/>
      <c r="N57" s="132" t="s">
        <v>337</v>
      </c>
      <c r="O57" s="131">
        <f t="shared" si="4"/>
        <v>0</v>
      </c>
      <c r="Z57" s="131">
        <f t="shared" si="5"/>
        <v>0</v>
      </c>
      <c r="AA57" s="131">
        <f t="shared" si="6"/>
        <v>0</v>
      </c>
      <c r="AB57" s="131">
        <f t="shared" si="7"/>
        <v>0</v>
      </c>
      <c r="AD57" s="142">
        <v>21</v>
      </c>
      <c r="AE57" s="142">
        <f t="shared" si="8"/>
        <v>0</v>
      </c>
      <c r="AF57" s="142">
        <f t="shared" si="9"/>
        <v>0</v>
      </c>
      <c r="AM57" s="142">
        <f t="shared" si="10"/>
        <v>0</v>
      </c>
      <c r="AN57" s="142">
        <f t="shared" si="11"/>
        <v>0</v>
      </c>
      <c r="AO57" s="143" t="s">
        <v>348</v>
      </c>
      <c r="AP57" s="143" t="s">
        <v>349</v>
      </c>
      <c r="AQ57" s="129" t="s">
        <v>328</v>
      </c>
    </row>
    <row r="58" spans="1:43" ht="12.75">
      <c r="A58" s="133" t="s">
        <v>311</v>
      </c>
      <c r="B58" s="133"/>
      <c r="C58" s="133" t="s">
        <v>312</v>
      </c>
      <c r="D58" s="133" t="s">
        <v>313</v>
      </c>
      <c r="E58" s="133" t="s">
        <v>212</v>
      </c>
      <c r="F58" s="134">
        <v>5</v>
      </c>
      <c r="G58" s="134">
        <v>0</v>
      </c>
      <c r="H58" s="134">
        <f t="shared" si="0"/>
        <v>0</v>
      </c>
      <c r="I58" s="134">
        <f t="shared" si="1"/>
        <v>0</v>
      </c>
      <c r="J58" s="134">
        <f t="shared" si="2"/>
        <v>0</v>
      </c>
      <c r="K58" s="134">
        <v>0</v>
      </c>
      <c r="L58" s="134">
        <f t="shared" si="3"/>
        <v>0</v>
      </c>
      <c r="M58" s="135"/>
      <c r="N58" s="132" t="s">
        <v>337</v>
      </c>
      <c r="O58" s="131">
        <f t="shared" si="4"/>
        <v>0</v>
      </c>
      <c r="Z58" s="131">
        <f t="shared" si="5"/>
        <v>0</v>
      </c>
      <c r="AA58" s="131">
        <f t="shared" si="6"/>
        <v>0</v>
      </c>
      <c r="AB58" s="131">
        <f t="shared" si="7"/>
        <v>0</v>
      </c>
      <c r="AD58" s="142">
        <v>21</v>
      </c>
      <c r="AE58" s="142">
        <f t="shared" si="8"/>
        <v>0</v>
      </c>
      <c r="AF58" s="142">
        <f t="shared" si="9"/>
        <v>0</v>
      </c>
      <c r="AM58" s="142">
        <f t="shared" si="10"/>
        <v>0</v>
      </c>
      <c r="AN58" s="142">
        <f t="shared" si="11"/>
        <v>0</v>
      </c>
      <c r="AO58" s="143" t="s">
        <v>348</v>
      </c>
      <c r="AP58" s="143" t="s">
        <v>349</v>
      </c>
      <c r="AQ58" s="129" t="s">
        <v>328</v>
      </c>
    </row>
    <row r="59" spans="1:37" ht="12.75">
      <c r="A59" s="126"/>
      <c r="B59" s="127"/>
      <c r="C59" s="127"/>
      <c r="D59" s="190" t="s">
        <v>28</v>
      </c>
      <c r="E59" s="191"/>
      <c r="F59" s="191"/>
      <c r="G59" s="191"/>
      <c r="H59" s="128">
        <f>SUM(H61:H64)</f>
        <v>0</v>
      </c>
      <c r="I59" s="128">
        <f>SUM(I60:I61)</f>
        <v>0</v>
      </c>
      <c r="J59" s="128">
        <f>H59+I59</f>
        <v>0</v>
      </c>
      <c r="K59" s="129"/>
      <c r="L59" s="128">
        <f>SUM(L61:L64)</f>
        <v>0</v>
      </c>
      <c r="M59" s="129"/>
      <c r="P59" s="128">
        <f>IF(Q59="PR",J59,SUM(O61:O64))</f>
        <v>0</v>
      </c>
      <c r="Q59" s="129" t="s">
        <v>347</v>
      </c>
      <c r="R59" s="128">
        <f>IF(Q59="HS",H59,0)</f>
        <v>0</v>
      </c>
      <c r="S59" s="128">
        <f>IF(Q59="HS",I59-P59,0)</f>
        <v>0</v>
      </c>
      <c r="T59" s="128">
        <f>IF(Q59="PS",H59,0)</f>
        <v>0</v>
      </c>
      <c r="U59" s="128">
        <f>IF(Q59="PS",I59-P59,0)</f>
        <v>0</v>
      </c>
      <c r="V59" s="128">
        <f>IF(Q59="MP",H59,0)</f>
        <v>0</v>
      </c>
      <c r="W59" s="128">
        <f>IF(Q59="MP",I59-P59,0)</f>
        <v>0</v>
      </c>
      <c r="X59" s="128">
        <f>IF(Q59="OM",H59,0)</f>
        <v>0</v>
      </c>
      <c r="Y59" s="129"/>
      <c r="AI59" s="128">
        <f>SUM(Z61:Z64)</f>
        <v>0</v>
      </c>
      <c r="AJ59" s="128">
        <f>SUM(AA61:AA64)</f>
        <v>0</v>
      </c>
      <c r="AK59" s="128">
        <f>SUM(AB61:AB64)</f>
        <v>0</v>
      </c>
    </row>
    <row r="60" spans="1:43" ht="12.75">
      <c r="A60" s="130" t="s">
        <v>367</v>
      </c>
      <c r="B60" s="130"/>
      <c r="C60" s="130"/>
      <c r="D60" s="130" t="s">
        <v>382</v>
      </c>
      <c r="E60" s="130" t="s">
        <v>108</v>
      </c>
      <c r="F60" s="131">
        <v>1</v>
      </c>
      <c r="G60" s="131">
        <v>0</v>
      </c>
      <c r="H60" s="131">
        <f>ROUND(F60*AE60,2)</f>
        <v>0</v>
      </c>
      <c r="I60" s="131">
        <f>J60-H60</f>
        <v>0</v>
      </c>
      <c r="J60" s="131">
        <f>ROUND(F60*G60,2)</f>
        <v>0</v>
      </c>
      <c r="K60" s="131">
        <v>0</v>
      </c>
      <c r="L60" s="131">
        <f>F60*K60</f>
        <v>0</v>
      </c>
      <c r="M60" s="132"/>
      <c r="N60" s="132" t="s">
        <v>337</v>
      </c>
      <c r="O60" s="131">
        <f>IF(N60="5",I60,0)</f>
        <v>0</v>
      </c>
      <c r="Z60" s="131">
        <f>IF(AD60=0,J60,0)</f>
        <v>0</v>
      </c>
      <c r="AA60" s="131">
        <f>IF(AD60=15,J60,0)</f>
        <v>0</v>
      </c>
      <c r="AB60" s="131">
        <f>IF(AD60=21,J60,0)</f>
        <v>0</v>
      </c>
      <c r="AD60" s="142">
        <v>21</v>
      </c>
      <c r="AE60" s="142">
        <f>G60*0</f>
        <v>0</v>
      </c>
      <c r="AF60" s="142">
        <f>G60*(1-0)</f>
        <v>0</v>
      </c>
      <c r="AM60" s="142">
        <f>F60*AE60</f>
        <v>0</v>
      </c>
      <c r="AN60" s="142">
        <f>F60*AF60</f>
        <v>0</v>
      </c>
      <c r="AO60" s="143" t="s">
        <v>348</v>
      </c>
      <c r="AP60" s="143" t="s">
        <v>349</v>
      </c>
      <c r="AQ60" s="129" t="s">
        <v>328</v>
      </c>
    </row>
    <row r="61" spans="1:43" ht="12.75">
      <c r="A61" s="130" t="s">
        <v>367</v>
      </c>
      <c r="B61" s="130"/>
      <c r="C61" s="130"/>
      <c r="D61" s="130" t="s">
        <v>105</v>
      </c>
      <c r="E61" s="130" t="s">
        <v>108</v>
      </c>
      <c r="F61" s="131">
        <v>1</v>
      </c>
      <c r="G61" s="131">
        <v>0</v>
      </c>
      <c r="H61" s="131">
        <f>ROUND(F61*AE61,2)</f>
        <v>0</v>
      </c>
      <c r="I61" s="131">
        <f>J61-H61</f>
        <v>0</v>
      </c>
      <c r="J61" s="131">
        <f>ROUND(F61*G61,2)</f>
        <v>0</v>
      </c>
      <c r="K61" s="131">
        <v>0</v>
      </c>
      <c r="L61" s="131">
        <f>F61*K61</f>
        <v>0</v>
      </c>
      <c r="M61" s="132"/>
      <c r="N61" s="132" t="s">
        <v>337</v>
      </c>
      <c r="O61" s="131">
        <f>IF(N61="5",I61,0)</f>
        <v>0</v>
      </c>
      <c r="Z61" s="131">
        <f>IF(AD61=0,J61,0)</f>
        <v>0</v>
      </c>
      <c r="AA61" s="131">
        <f>IF(AD61=15,J61,0)</f>
        <v>0</v>
      </c>
      <c r="AB61" s="131">
        <f>IF(AD61=21,J61,0)</f>
        <v>0</v>
      </c>
      <c r="AD61" s="142">
        <v>21</v>
      </c>
      <c r="AE61" s="142">
        <f>G61*0</f>
        <v>0</v>
      </c>
      <c r="AF61" s="142">
        <f>G61*(1-0)</f>
        <v>0</v>
      </c>
      <c r="AM61" s="142">
        <f>F61*AE61</f>
        <v>0</v>
      </c>
      <c r="AN61" s="142">
        <f>F61*AF61</f>
        <v>0</v>
      </c>
      <c r="AO61" s="143" t="s">
        <v>348</v>
      </c>
      <c r="AP61" s="143" t="s">
        <v>349</v>
      </c>
      <c r="AQ61" s="129" t="s">
        <v>328</v>
      </c>
    </row>
    <row r="62" spans="1:28" ht="12.75">
      <c r="A62" s="136"/>
      <c r="B62" s="136"/>
      <c r="C62" s="136"/>
      <c r="D62" s="136"/>
      <c r="E62" s="136"/>
      <c r="F62" s="136"/>
      <c r="G62" s="136"/>
      <c r="H62" s="192" t="s">
        <v>314</v>
      </c>
      <c r="I62" s="193"/>
      <c r="J62" s="137">
        <f>J12+J15+J18+J20+J24+J30+J33+J35+J38+J43+J45+J47+J52+J59</f>
        <v>0</v>
      </c>
      <c r="K62" s="136"/>
      <c r="L62" s="136"/>
      <c r="M62" s="136"/>
      <c r="Z62" s="144">
        <f>SUM(Z13:Z58)</f>
        <v>0</v>
      </c>
      <c r="AA62" s="144">
        <f>SUM(AA13:AA58)</f>
        <v>0</v>
      </c>
      <c r="AB62" s="144">
        <f>SUM(AB13:AB58)</f>
        <v>0</v>
      </c>
    </row>
    <row r="63" ht="12.75">
      <c r="A63" s="138" t="s">
        <v>315</v>
      </c>
    </row>
    <row r="64" spans="1:13" ht="12.75">
      <c r="A64" s="179"/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</row>
  </sheetData>
  <sheetProtection selectLockedCells="1" selectUnlockedCells="1"/>
  <autoFilter ref="B3:B25"/>
  <mergeCells count="43">
    <mergeCell ref="D43:G43"/>
    <mergeCell ref="D45:G45"/>
    <mergeCell ref="D47:G47"/>
    <mergeCell ref="D52:G52"/>
    <mergeCell ref="H62:I62"/>
    <mergeCell ref="A64:M64"/>
    <mergeCell ref="D59:G59"/>
    <mergeCell ref="D24:G24"/>
    <mergeCell ref="D30:G30"/>
    <mergeCell ref="D33:G33"/>
    <mergeCell ref="D35:G35"/>
    <mergeCell ref="D38:G38"/>
    <mergeCell ref="H10:J10"/>
    <mergeCell ref="K10:L10"/>
    <mergeCell ref="D12:G12"/>
    <mergeCell ref="D15:G15"/>
    <mergeCell ref="D18:G18"/>
    <mergeCell ref="D20:G20"/>
    <mergeCell ref="A8:C9"/>
    <mergeCell ref="D8:D9"/>
    <mergeCell ref="E8:F9"/>
    <mergeCell ref="G8:H9"/>
    <mergeCell ref="I8:I9"/>
    <mergeCell ref="J8:M9"/>
    <mergeCell ref="A6:C7"/>
    <mergeCell ref="D6:D7"/>
    <mergeCell ref="E6:F7"/>
    <mergeCell ref="G6:H7"/>
    <mergeCell ref="I6:I7"/>
    <mergeCell ref="J6:M7"/>
    <mergeCell ref="A4:C5"/>
    <mergeCell ref="D4:D5"/>
    <mergeCell ref="E4:F5"/>
    <mergeCell ref="G4:H5"/>
    <mergeCell ref="I4:I5"/>
    <mergeCell ref="J4:M5"/>
    <mergeCell ref="A1:M1"/>
    <mergeCell ref="A2:C3"/>
    <mergeCell ref="D2:D3"/>
    <mergeCell ref="E2:F3"/>
    <mergeCell ref="G2:H3"/>
    <mergeCell ref="I2:I3"/>
    <mergeCell ref="J2:M3"/>
  </mergeCells>
  <printOptions/>
  <pageMargins left="0.7875" right="0.7875" top="0.7875" bottom="1.1784722222222221" header="0.5118055555555555" footer="0.5118055555555555"/>
  <pageSetup fitToHeight="4" fitToWidth="1" horizontalDpi="300" verticalDpi="300" orientation="portrait" paperSize="9" scale="56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PageLayoutView="0" workbookViewId="0" topLeftCell="A1">
      <selection activeCell="F22" sqref="F22"/>
    </sheetView>
  </sheetViews>
  <sheetFormatPr defaultColWidth="10.421875" defaultRowHeight="12.75" customHeight="1"/>
  <cols>
    <col min="1" max="1" width="5.421875" style="48" customWidth="1"/>
    <col min="2" max="2" width="14.28125" style="48" customWidth="1"/>
    <col min="3" max="3" width="35.8515625" style="48" customWidth="1"/>
    <col min="4" max="4" width="13.7109375" style="48" customWidth="1"/>
    <col min="5" max="5" width="17.140625" style="48" customWidth="1"/>
    <col min="6" max="6" width="26.8515625" style="48" customWidth="1"/>
    <col min="7" max="9" width="10.421875" style="48" customWidth="1"/>
    <col min="10" max="10" width="14.7109375" style="48" bestFit="1" customWidth="1"/>
    <col min="11" max="16384" width="10.421875" style="48" customWidth="1"/>
  </cols>
  <sheetData>
    <row r="1" spans="1:6" ht="23.25" customHeight="1">
      <c r="A1" s="164" t="s">
        <v>0</v>
      </c>
      <c r="B1" s="164"/>
      <c r="C1" s="3" t="s">
        <v>350</v>
      </c>
      <c r="D1" s="4"/>
      <c r="E1" s="4"/>
      <c r="F1" s="4"/>
    </row>
    <row r="2" spans="1:6" ht="23.25" customHeight="1">
      <c r="A2" s="164" t="s">
        <v>1</v>
      </c>
      <c r="B2" s="164"/>
      <c r="C2" s="6" t="s">
        <v>354</v>
      </c>
      <c r="D2" s="7"/>
      <c r="E2" s="7"/>
      <c r="F2" s="7"/>
    </row>
    <row r="3" spans="1:6" ht="15" customHeight="1">
      <c r="A3" s="164" t="s">
        <v>2</v>
      </c>
      <c r="B3" s="164"/>
      <c r="C3" s="6" t="s">
        <v>114</v>
      </c>
      <c r="D3" s="2" t="s">
        <v>7</v>
      </c>
      <c r="E3" s="6" t="s">
        <v>351</v>
      </c>
      <c r="F3" s="9"/>
    </row>
    <row r="4" spans="1:6" ht="23.25" customHeight="1">
      <c r="A4" s="2"/>
      <c r="B4" s="7"/>
      <c r="C4" s="10"/>
      <c r="D4" s="2"/>
      <c r="E4" s="7"/>
      <c r="F4" s="7"/>
    </row>
    <row r="5" spans="1:6" ht="23.25" customHeight="1">
      <c r="A5" s="165" t="s">
        <v>352</v>
      </c>
      <c r="B5" s="165"/>
      <c r="C5" s="165"/>
      <c r="D5" s="165"/>
      <c r="E5" s="165"/>
      <c r="F5" s="165"/>
    </row>
    <row r="6" spans="1:6" ht="16.5" customHeight="1">
      <c r="A6" s="12" t="s">
        <v>3</v>
      </c>
      <c r="B6" s="13"/>
      <c r="C6" s="14"/>
      <c r="D6" s="15" t="s">
        <v>8</v>
      </c>
      <c r="E6" s="12" t="s">
        <v>4</v>
      </c>
      <c r="F6" s="15" t="s">
        <v>5</v>
      </c>
    </row>
    <row r="7" spans="1:6" ht="16.5" customHeight="1">
      <c r="A7" s="18">
        <v>1</v>
      </c>
      <c r="B7" s="19" t="s">
        <v>21</v>
      </c>
      <c r="C7" s="20"/>
      <c r="D7" s="23"/>
      <c r="E7" s="21"/>
      <c r="F7" s="21">
        <f>SUM('ROZVODY SKR a NN'!H5:H110)</f>
        <v>0</v>
      </c>
    </row>
    <row r="8" spans="1:6" ht="16.5" customHeight="1">
      <c r="A8" s="18">
        <f aca="true" t="shared" si="0" ref="A8:A15">A7+1</f>
        <v>2</v>
      </c>
      <c r="B8" s="19" t="s">
        <v>22</v>
      </c>
      <c r="C8" s="20"/>
      <c r="D8" s="34">
        <v>0.05</v>
      </c>
      <c r="E8" s="21">
        <f>SUMIF('ROZVODY SKR a NN'!E12:E101,"m",'ROZVODY SKR a NN'!H12:H101)</f>
        <v>0</v>
      </c>
      <c r="F8" s="21">
        <f>E8*D8</f>
        <v>0</v>
      </c>
    </row>
    <row r="9" spans="1:6" ht="16.5" customHeight="1">
      <c r="A9" s="18">
        <f t="shared" si="0"/>
        <v>3</v>
      </c>
      <c r="B9" s="19" t="s">
        <v>23</v>
      </c>
      <c r="C9" s="20"/>
      <c r="D9" s="34">
        <v>0.03</v>
      </c>
      <c r="E9" s="21">
        <f>F7</f>
        <v>0</v>
      </c>
      <c r="F9" s="21">
        <f>E9*D9</f>
        <v>0</v>
      </c>
    </row>
    <row r="10" spans="1:6" ht="16.5" customHeight="1">
      <c r="A10" s="18">
        <f t="shared" si="0"/>
        <v>4</v>
      </c>
      <c r="B10" s="19" t="s">
        <v>24</v>
      </c>
      <c r="C10" s="20"/>
      <c r="D10" s="23"/>
      <c r="E10" s="21"/>
      <c r="F10" s="21">
        <f>SUM('ROZVODY SKR a NN'!K112:K123)</f>
        <v>0</v>
      </c>
    </row>
    <row r="11" spans="1:9" ht="16.5" customHeight="1">
      <c r="A11" s="18">
        <f t="shared" si="0"/>
        <v>5</v>
      </c>
      <c r="B11" s="19" t="s">
        <v>25</v>
      </c>
      <c r="C11" s="20"/>
      <c r="D11" s="23"/>
      <c r="E11" s="21"/>
      <c r="F11" s="21">
        <f>SUM('ROZVODY SKR a NN'!J5:J110)</f>
        <v>0</v>
      </c>
      <c r="I11" s="105"/>
    </row>
    <row r="12" spans="1:6" ht="16.5" customHeight="1">
      <c r="A12" s="35">
        <f t="shared" si="0"/>
        <v>6</v>
      </c>
      <c r="B12" s="36" t="s">
        <v>26</v>
      </c>
      <c r="C12" s="37"/>
      <c r="D12" s="47">
        <v>0.02</v>
      </c>
      <c r="E12" s="39">
        <f>SUM(F7:F11)</f>
        <v>0</v>
      </c>
      <c r="F12" s="39">
        <f>E12*D12</f>
        <v>0</v>
      </c>
    </row>
    <row r="13" spans="1:6" ht="16.5" customHeight="1">
      <c r="A13" s="18">
        <f t="shared" si="0"/>
        <v>7</v>
      </c>
      <c r="B13" s="19" t="s">
        <v>27</v>
      </c>
      <c r="C13" s="20"/>
      <c r="D13" s="23"/>
      <c r="E13" s="21"/>
      <c r="F13" s="21">
        <f>SUM(F7:F12)</f>
        <v>0</v>
      </c>
    </row>
    <row r="14" spans="1:10" ht="16.5" customHeight="1">
      <c r="A14" s="35">
        <f t="shared" si="0"/>
        <v>8</v>
      </c>
      <c r="B14" s="36" t="s">
        <v>28</v>
      </c>
      <c r="C14" s="37"/>
      <c r="D14" s="38"/>
      <c r="E14" s="39"/>
      <c r="F14" s="39">
        <f>SUM('ROZVODY SKR a NN'!J125:J129)</f>
        <v>0</v>
      </c>
      <c r="J14" s="103"/>
    </row>
    <row r="15" spans="1:10" ht="16.5" customHeight="1">
      <c r="A15" s="40">
        <f t="shared" si="0"/>
        <v>9</v>
      </c>
      <c r="B15" s="41" t="s">
        <v>29</v>
      </c>
      <c r="C15" s="42"/>
      <c r="D15" s="43"/>
      <c r="E15" s="44"/>
      <c r="F15" s="44">
        <f>SUM(F13:F14)</f>
        <v>0</v>
      </c>
      <c r="J15" s="105"/>
    </row>
    <row r="16" spans="1:6" ht="16.5" customHeight="1">
      <c r="A16" s="24"/>
      <c r="B16" s="25"/>
      <c r="C16" s="25"/>
      <c r="D16" s="45"/>
      <c r="E16" s="26"/>
      <c r="F16" s="46"/>
    </row>
    <row r="17" spans="1:6" ht="16.5" customHeight="1">
      <c r="A17" s="35">
        <f>A15+1</f>
        <v>10</v>
      </c>
      <c r="B17" s="36" t="s">
        <v>30</v>
      </c>
      <c r="C17" s="37"/>
      <c r="D17" s="47">
        <v>0.01</v>
      </c>
      <c r="E17" s="39">
        <f>F13</f>
        <v>0</v>
      </c>
      <c r="F17" s="39">
        <f>E17*D17</f>
        <v>0</v>
      </c>
    </row>
    <row r="18" spans="1:6" ht="16.5" customHeight="1">
      <c r="A18" s="40">
        <f>A17+1</f>
        <v>11</v>
      </c>
      <c r="B18" s="41" t="s">
        <v>31</v>
      </c>
      <c r="C18" s="42"/>
      <c r="D18" s="43"/>
      <c r="E18" s="44"/>
      <c r="F18" s="44">
        <f>F17</f>
        <v>0</v>
      </c>
    </row>
    <row r="19" spans="1:6" ht="16.5" customHeight="1">
      <c r="A19" s="24"/>
      <c r="B19" s="25"/>
      <c r="C19" s="25"/>
      <c r="D19" s="45"/>
      <c r="E19" s="26"/>
      <c r="F19" s="46"/>
    </row>
    <row r="20" spans="1:6" ht="16.5" customHeight="1">
      <c r="A20" s="18">
        <f>A18+1</f>
        <v>12</v>
      </c>
      <c r="B20" s="19" t="s">
        <v>32</v>
      </c>
      <c r="C20" s="20"/>
      <c r="D20" s="23"/>
      <c r="E20" s="21"/>
      <c r="F20" s="21">
        <v>0</v>
      </c>
    </row>
    <row r="21" spans="1:6" ht="16.5" customHeight="1">
      <c r="A21" s="18">
        <f>A20+1</f>
        <v>13</v>
      </c>
      <c r="B21" s="19" t="s">
        <v>33</v>
      </c>
      <c r="C21" s="20"/>
      <c r="D21" s="23"/>
      <c r="E21" s="21"/>
      <c r="F21" s="21">
        <v>0</v>
      </c>
    </row>
    <row r="22" spans="1:6" ht="16.5" customHeight="1">
      <c r="A22" s="35">
        <f>A21+1</f>
        <v>14</v>
      </c>
      <c r="B22" s="36" t="s">
        <v>9</v>
      </c>
      <c r="C22" s="37"/>
      <c r="D22" s="47">
        <v>0.02</v>
      </c>
      <c r="E22" s="39">
        <f>SUM(F13:F14)</f>
        <v>0</v>
      </c>
      <c r="F22" s="39">
        <f>D22*E22</f>
        <v>0</v>
      </c>
    </row>
    <row r="23" spans="1:6" ht="16.5" customHeight="1">
      <c r="A23" s="40">
        <f>A22+1</f>
        <v>15</v>
      </c>
      <c r="B23" s="41" t="s">
        <v>34</v>
      </c>
      <c r="C23" s="42"/>
      <c r="D23" s="43"/>
      <c r="E23" s="44"/>
      <c r="F23" s="44">
        <f>SUM(F20:F22)</f>
        <v>0</v>
      </c>
    </row>
    <row r="24" spans="1:6" ht="15" customHeight="1">
      <c r="A24" s="50"/>
      <c r="B24" s="51"/>
      <c r="C24" s="51"/>
      <c r="D24" s="52"/>
      <c r="E24" s="53"/>
      <c r="F24" s="54"/>
    </row>
    <row r="25" spans="1:6" ht="21" customHeight="1">
      <c r="A25" s="28" t="s">
        <v>6</v>
      </c>
      <c r="B25" s="29"/>
      <c r="C25" s="30"/>
      <c r="D25" s="31"/>
      <c r="E25" s="31"/>
      <c r="F25" s="31">
        <f>F23+F18+F15</f>
        <v>0</v>
      </c>
    </row>
  </sheetData>
  <sheetProtection selectLockedCells="1" selectUnlockedCells="1"/>
  <mergeCells count="4">
    <mergeCell ref="A1:B1"/>
    <mergeCell ref="A2:B2"/>
    <mergeCell ref="A3:B3"/>
    <mergeCell ref="A5:F5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3"/>
  <sheetViews>
    <sheetView tabSelected="1" zoomScale="130" zoomScaleNormal="130" zoomScalePageLayoutView="0" workbookViewId="0" topLeftCell="A1">
      <pane ySplit="3" topLeftCell="A111" activePane="bottomLeft" state="frozen"/>
      <selection pane="topLeft" activeCell="A1" sqref="A1"/>
      <selection pane="bottomLeft" activeCell="I130" sqref="I130"/>
    </sheetView>
  </sheetViews>
  <sheetFormatPr defaultColWidth="10.421875" defaultRowHeight="15"/>
  <cols>
    <col min="1" max="1" width="4.421875" style="84" customWidth="1"/>
    <col min="2" max="3" width="14.421875" style="84" customWidth="1"/>
    <col min="4" max="4" width="55.00390625" style="84" customWidth="1"/>
    <col min="5" max="5" width="4.28125" style="84" customWidth="1"/>
    <col min="6" max="6" width="6.00390625" style="84" customWidth="1"/>
    <col min="7" max="10" width="11.421875" style="84" customWidth="1"/>
    <col min="11" max="11" width="16.28125" style="84" customWidth="1"/>
    <col min="12" max="12" width="2.140625" style="84" customWidth="1"/>
    <col min="13" max="16384" width="10.421875" style="84" customWidth="1"/>
  </cols>
  <sheetData>
    <row r="1" spans="1:11" ht="23.25">
      <c r="A1" s="195" t="s">
        <v>353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30">
      <c r="A2" s="196" t="s">
        <v>10</v>
      </c>
      <c r="B2" s="197"/>
      <c r="C2" s="197"/>
      <c r="D2" s="197"/>
      <c r="E2" s="197"/>
      <c r="F2" s="198"/>
      <c r="G2" s="199" t="s">
        <v>35</v>
      </c>
      <c r="H2" s="200"/>
      <c r="I2" s="201" t="s">
        <v>36</v>
      </c>
      <c r="J2" s="201"/>
      <c r="K2" s="56" t="s">
        <v>11</v>
      </c>
    </row>
    <row r="3" spans="1:11" ht="14.25">
      <c r="A3" s="62" t="s">
        <v>12</v>
      </c>
      <c r="B3" s="63" t="s">
        <v>57</v>
      </c>
      <c r="C3" s="64" t="s">
        <v>13</v>
      </c>
      <c r="D3" s="65" t="s">
        <v>14</v>
      </c>
      <c r="E3" s="66" t="s">
        <v>15</v>
      </c>
      <c r="F3" s="67" t="s">
        <v>16</v>
      </c>
      <c r="G3" s="68" t="s">
        <v>17</v>
      </c>
      <c r="H3" s="69" t="s">
        <v>18</v>
      </c>
      <c r="I3" s="70" t="s">
        <v>17</v>
      </c>
      <c r="J3" s="71" t="s">
        <v>18</v>
      </c>
      <c r="K3" s="72" t="s">
        <v>18</v>
      </c>
    </row>
    <row r="4" spans="1:11" ht="14.25" collapsed="1">
      <c r="A4" s="73"/>
      <c r="B4" s="73"/>
      <c r="C4" s="74"/>
      <c r="D4" s="75" t="s">
        <v>116</v>
      </c>
      <c r="E4" s="76"/>
      <c r="F4" s="76"/>
      <c r="G4" s="77"/>
      <c r="H4" s="78"/>
      <c r="I4" s="79"/>
      <c r="J4" s="78"/>
      <c r="K4" s="80"/>
    </row>
    <row r="5" spans="1:11" ht="14.25">
      <c r="A5" s="55">
        <v>1</v>
      </c>
      <c r="B5" s="58"/>
      <c r="C5" s="59"/>
      <c r="D5" s="85" t="s">
        <v>117</v>
      </c>
      <c r="E5" s="86" t="s">
        <v>19</v>
      </c>
      <c r="F5" s="82">
        <v>18</v>
      </c>
      <c r="G5" s="61">
        <v>0</v>
      </c>
      <c r="H5" s="57">
        <f aca="true" t="shared" si="0" ref="H5:H11">G5*F5</f>
        <v>0</v>
      </c>
      <c r="I5" s="61">
        <v>0</v>
      </c>
      <c r="J5" s="57">
        <f aca="true" t="shared" si="1" ref="J5:J11">I5*F5</f>
        <v>0</v>
      </c>
      <c r="K5" s="81">
        <f aca="true" t="shared" si="2" ref="K5:K11">J5+H5</f>
        <v>0</v>
      </c>
    </row>
    <row r="6" spans="1:11" ht="14.25">
      <c r="A6" s="55">
        <f aca="true" t="shared" si="3" ref="A6:A11">A5+1</f>
        <v>2</v>
      </c>
      <c r="B6" s="58"/>
      <c r="C6" s="59"/>
      <c r="D6" s="85" t="s">
        <v>118</v>
      </c>
      <c r="E6" s="86" t="s">
        <v>37</v>
      </c>
      <c r="F6" s="82">
        <v>2</v>
      </c>
      <c r="G6" s="61">
        <v>0</v>
      </c>
      <c r="H6" s="57">
        <f t="shared" si="0"/>
        <v>0</v>
      </c>
      <c r="I6" s="61">
        <v>0</v>
      </c>
      <c r="J6" s="57">
        <f t="shared" si="1"/>
        <v>0</v>
      </c>
      <c r="K6" s="81">
        <f t="shared" si="2"/>
        <v>0</v>
      </c>
    </row>
    <row r="7" spans="1:11" ht="14.25">
      <c r="A7" s="55">
        <f t="shared" si="3"/>
        <v>3</v>
      </c>
      <c r="B7" s="58"/>
      <c r="C7" s="59"/>
      <c r="D7" s="85" t="s">
        <v>119</v>
      </c>
      <c r="E7" s="86" t="s">
        <v>37</v>
      </c>
      <c r="F7" s="82">
        <v>1</v>
      </c>
      <c r="G7" s="61">
        <v>0</v>
      </c>
      <c r="H7" s="57">
        <f t="shared" si="0"/>
        <v>0</v>
      </c>
      <c r="I7" s="61">
        <v>0</v>
      </c>
      <c r="J7" s="57">
        <f t="shared" si="1"/>
        <v>0</v>
      </c>
      <c r="K7" s="81">
        <f t="shared" si="2"/>
        <v>0</v>
      </c>
    </row>
    <row r="8" spans="1:11" ht="14.25">
      <c r="A8" s="55">
        <f t="shared" si="3"/>
        <v>4</v>
      </c>
      <c r="B8" s="58"/>
      <c r="C8" s="59"/>
      <c r="D8" s="85" t="s">
        <v>120</v>
      </c>
      <c r="E8" s="86" t="s">
        <v>37</v>
      </c>
      <c r="F8" s="82">
        <v>1</v>
      </c>
      <c r="G8" s="61">
        <v>0</v>
      </c>
      <c r="H8" s="57">
        <f t="shared" si="0"/>
        <v>0</v>
      </c>
      <c r="I8" s="61">
        <v>0</v>
      </c>
      <c r="J8" s="57">
        <f t="shared" si="1"/>
        <v>0</v>
      </c>
      <c r="K8" s="81">
        <f t="shared" si="2"/>
        <v>0</v>
      </c>
    </row>
    <row r="9" spans="1:11" ht="14.25">
      <c r="A9" s="55">
        <f t="shared" si="3"/>
        <v>5</v>
      </c>
      <c r="B9" s="58"/>
      <c r="C9" s="59"/>
      <c r="D9" s="85" t="s">
        <v>121</v>
      </c>
      <c r="E9" s="86" t="s">
        <v>19</v>
      </c>
      <c r="F9" s="82">
        <v>36</v>
      </c>
      <c r="G9" s="61">
        <v>0</v>
      </c>
      <c r="H9" s="57">
        <f t="shared" si="0"/>
        <v>0</v>
      </c>
      <c r="I9" s="61">
        <v>0</v>
      </c>
      <c r="J9" s="57">
        <f t="shared" si="1"/>
        <v>0</v>
      </c>
      <c r="K9" s="81">
        <f t="shared" si="2"/>
        <v>0</v>
      </c>
    </row>
    <row r="10" spans="1:11" ht="14.25">
      <c r="A10" s="55">
        <f t="shared" si="3"/>
        <v>6</v>
      </c>
      <c r="B10" s="58"/>
      <c r="C10" s="59"/>
      <c r="D10" s="85" t="s">
        <v>122</v>
      </c>
      <c r="E10" s="86" t="s">
        <v>37</v>
      </c>
      <c r="F10" s="82">
        <v>9</v>
      </c>
      <c r="G10" s="61">
        <v>0</v>
      </c>
      <c r="H10" s="57">
        <f t="shared" si="0"/>
        <v>0</v>
      </c>
      <c r="I10" s="61">
        <v>0</v>
      </c>
      <c r="J10" s="57">
        <f t="shared" si="1"/>
        <v>0</v>
      </c>
      <c r="K10" s="81">
        <f t="shared" si="2"/>
        <v>0</v>
      </c>
    </row>
    <row r="11" spans="1:11" ht="14.25">
      <c r="A11" s="55">
        <f t="shared" si="3"/>
        <v>7</v>
      </c>
      <c r="B11" s="58"/>
      <c r="C11" s="59"/>
      <c r="D11" s="85" t="s">
        <v>123</v>
      </c>
      <c r="E11" s="86" t="s">
        <v>19</v>
      </c>
      <c r="F11" s="82">
        <v>18</v>
      </c>
      <c r="G11" s="61">
        <v>0</v>
      </c>
      <c r="H11" s="57">
        <f t="shared" si="0"/>
        <v>0</v>
      </c>
      <c r="I11" s="61">
        <v>0</v>
      </c>
      <c r="J11" s="57">
        <f t="shared" si="1"/>
        <v>0</v>
      </c>
      <c r="K11" s="81">
        <f t="shared" si="2"/>
        <v>0</v>
      </c>
    </row>
    <row r="12" spans="1:11" ht="14.25" collapsed="1">
      <c r="A12" s="73"/>
      <c r="B12" s="73"/>
      <c r="C12" s="74"/>
      <c r="D12" s="75" t="s">
        <v>49</v>
      </c>
      <c r="E12" s="76"/>
      <c r="F12" s="76"/>
      <c r="G12" s="77"/>
      <c r="H12" s="78"/>
      <c r="I12" s="79"/>
      <c r="J12" s="78"/>
      <c r="K12" s="80"/>
    </row>
    <row r="13" spans="1:11" ht="14.25">
      <c r="A13" s="55">
        <f>A11+1</f>
        <v>8</v>
      </c>
      <c r="B13" s="58"/>
      <c r="C13" s="59"/>
      <c r="D13" s="85" t="s">
        <v>58</v>
      </c>
      <c r="E13" s="86" t="s">
        <v>19</v>
      </c>
      <c r="F13" s="82">
        <v>10</v>
      </c>
      <c r="G13" s="61">
        <v>0</v>
      </c>
      <c r="H13" s="57">
        <f aca="true" t="shared" si="4" ref="H13:H21">G13*F13</f>
        <v>0</v>
      </c>
      <c r="I13" s="61">
        <v>0</v>
      </c>
      <c r="J13" s="57">
        <f aca="true" t="shared" si="5" ref="J13:J21">I13*F13</f>
        <v>0</v>
      </c>
      <c r="K13" s="81">
        <f aca="true" t="shared" si="6" ref="K13:K21">J13+H13</f>
        <v>0</v>
      </c>
    </row>
    <row r="14" spans="1:11" ht="14.25">
      <c r="A14" s="55">
        <f>A13+1</f>
        <v>9</v>
      </c>
      <c r="B14" s="58"/>
      <c r="C14" s="59"/>
      <c r="D14" s="85" t="s">
        <v>60</v>
      </c>
      <c r="E14" s="86" t="s">
        <v>19</v>
      </c>
      <c r="F14" s="82">
        <v>10</v>
      </c>
      <c r="G14" s="61">
        <v>0</v>
      </c>
      <c r="H14" s="57">
        <f t="shared" si="4"/>
        <v>0</v>
      </c>
      <c r="I14" s="61">
        <v>0</v>
      </c>
      <c r="J14" s="57">
        <f t="shared" si="5"/>
        <v>0</v>
      </c>
      <c r="K14" s="81">
        <f t="shared" si="6"/>
        <v>0</v>
      </c>
    </row>
    <row r="15" spans="1:11" ht="14.25">
      <c r="A15" s="55">
        <f aca="true" t="shared" si="7" ref="A15:A21">A14+1</f>
        <v>10</v>
      </c>
      <c r="B15" s="58"/>
      <c r="C15" s="59"/>
      <c r="D15" s="85" t="s">
        <v>61</v>
      </c>
      <c r="E15" s="86" t="s">
        <v>37</v>
      </c>
      <c r="F15" s="82">
        <v>16</v>
      </c>
      <c r="G15" s="61">
        <v>0</v>
      </c>
      <c r="H15" s="57">
        <f t="shared" si="4"/>
        <v>0</v>
      </c>
      <c r="I15" s="61">
        <v>0</v>
      </c>
      <c r="J15" s="57">
        <f t="shared" si="5"/>
        <v>0</v>
      </c>
      <c r="K15" s="81">
        <f t="shared" si="6"/>
        <v>0</v>
      </c>
    </row>
    <row r="16" spans="1:11" ht="14.25">
      <c r="A16" s="55">
        <f t="shared" si="7"/>
        <v>11</v>
      </c>
      <c r="B16" s="58"/>
      <c r="C16" s="59"/>
      <c r="D16" s="85" t="s">
        <v>62</v>
      </c>
      <c r="E16" s="86" t="s">
        <v>37</v>
      </c>
      <c r="F16" s="82">
        <v>16</v>
      </c>
      <c r="G16" s="61">
        <v>0</v>
      </c>
      <c r="H16" s="57">
        <f t="shared" si="4"/>
        <v>0</v>
      </c>
      <c r="I16" s="61">
        <v>0</v>
      </c>
      <c r="J16" s="57">
        <f t="shared" si="5"/>
        <v>0</v>
      </c>
      <c r="K16" s="81">
        <f t="shared" si="6"/>
        <v>0</v>
      </c>
    </row>
    <row r="17" spans="1:11" ht="14.25">
      <c r="A17" s="55">
        <f t="shared" si="7"/>
        <v>12</v>
      </c>
      <c r="B17" s="58"/>
      <c r="C17" s="59"/>
      <c r="D17" s="85" t="s">
        <v>63</v>
      </c>
      <c r="E17" s="86" t="s">
        <v>59</v>
      </c>
      <c r="F17" s="82">
        <v>1</v>
      </c>
      <c r="G17" s="61">
        <v>0</v>
      </c>
      <c r="H17" s="57">
        <f t="shared" si="4"/>
        <v>0</v>
      </c>
      <c r="I17" s="61">
        <v>0</v>
      </c>
      <c r="J17" s="57">
        <f t="shared" si="5"/>
        <v>0</v>
      </c>
      <c r="K17" s="81">
        <f t="shared" si="6"/>
        <v>0</v>
      </c>
    </row>
    <row r="18" spans="1:11" ht="14.25">
      <c r="A18" s="55">
        <f t="shared" si="7"/>
        <v>13</v>
      </c>
      <c r="B18" s="58"/>
      <c r="C18" s="59"/>
      <c r="D18" s="85" t="s">
        <v>64</v>
      </c>
      <c r="E18" s="86" t="s">
        <v>37</v>
      </c>
      <c r="F18" s="82">
        <v>12</v>
      </c>
      <c r="G18" s="61">
        <v>0</v>
      </c>
      <c r="H18" s="57">
        <f t="shared" si="4"/>
        <v>0</v>
      </c>
      <c r="I18" s="61">
        <v>0</v>
      </c>
      <c r="J18" s="57">
        <f t="shared" si="5"/>
        <v>0</v>
      </c>
      <c r="K18" s="81">
        <f t="shared" si="6"/>
        <v>0</v>
      </c>
    </row>
    <row r="19" spans="1:11" ht="14.25">
      <c r="A19" s="55">
        <f t="shared" si="7"/>
        <v>14</v>
      </c>
      <c r="B19" s="58"/>
      <c r="C19" s="59"/>
      <c r="D19" s="85" t="s">
        <v>65</v>
      </c>
      <c r="E19" s="86" t="s">
        <v>19</v>
      </c>
      <c r="F19" s="82">
        <v>1</v>
      </c>
      <c r="G19" s="61">
        <v>0</v>
      </c>
      <c r="H19" s="57">
        <f t="shared" si="4"/>
        <v>0</v>
      </c>
      <c r="I19" s="61">
        <v>0</v>
      </c>
      <c r="J19" s="57">
        <f t="shared" si="5"/>
        <v>0</v>
      </c>
      <c r="K19" s="81">
        <f t="shared" si="6"/>
        <v>0</v>
      </c>
    </row>
    <row r="20" spans="1:11" ht="14.25">
      <c r="A20" s="55">
        <f t="shared" si="7"/>
        <v>15</v>
      </c>
      <c r="B20" s="58"/>
      <c r="C20" s="59"/>
      <c r="D20" s="85" t="s">
        <v>66</v>
      </c>
      <c r="E20" s="86" t="s">
        <v>19</v>
      </c>
      <c r="F20" s="82">
        <v>1</v>
      </c>
      <c r="G20" s="61">
        <v>0</v>
      </c>
      <c r="H20" s="57">
        <f t="shared" si="4"/>
        <v>0</v>
      </c>
      <c r="I20" s="61">
        <v>0</v>
      </c>
      <c r="J20" s="57">
        <f t="shared" si="5"/>
        <v>0</v>
      </c>
      <c r="K20" s="81">
        <f t="shared" si="6"/>
        <v>0</v>
      </c>
    </row>
    <row r="21" spans="1:11" ht="14.25">
      <c r="A21" s="55">
        <f t="shared" si="7"/>
        <v>16</v>
      </c>
      <c r="B21" s="58"/>
      <c r="C21" s="59"/>
      <c r="D21" s="85" t="s">
        <v>67</v>
      </c>
      <c r="E21" s="86" t="s">
        <v>37</v>
      </c>
      <c r="F21" s="82">
        <v>1</v>
      </c>
      <c r="G21" s="61">
        <v>0</v>
      </c>
      <c r="H21" s="57">
        <f t="shared" si="4"/>
        <v>0</v>
      </c>
      <c r="I21" s="61">
        <v>0</v>
      </c>
      <c r="J21" s="57">
        <f t="shared" si="5"/>
        <v>0</v>
      </c>
      <c r="K21" s="81">
        <f t="shared" si="6"/>
        <v>0</v>
      </c>
    </row>
    <row r="22" spans="1:11" ht="14.25" collapsed="1">
      <c r="A22" s="73"/>
      <c r="B22" s="73"/>
      <c r="C22" s="74"/>
      <c r="D22" s="75" t="s">
        <v>38</v>
      </c>
      <c r="E22" s="76"/>
      <c r="F22" s="76"/>
      <c r="G22" s="77"/>
      <c r="H22" s="78"/>
      <c r="I22" s="79"/>
      <c r="J22" s="78"/>
      <c r="K22" s="80"/>
    </row>
    <row r="23" spans="1:11" ht="14.25">
      <c r="A23" s="55">
        <f>A21+1</f>
        <v>17</v>
      </c>
      <c r="B23" s="58"/>
      <c r="C23" s="59"/>
      <c r="D23" s="85" t="s">
        <v>124</v>
      </c>
      <c r="E23" s="86" t="s">
        <v>108</v>
      </c>
      <c r="F23" s="82">
        <v>1</v>
      </c>
      <c r="G23" s="61">
        <v>0</v>
      </c>
      <c r="H23" s="57">
        <f>G23*F23</f>
        <v>0</v>
      </c>
      <c r="I23" s="61">
        <v>0</v>
      </c>
      <c r="J23" s="57">
        <f>I23*F23</f>
        <v>0</v>
      </c>
      <c r="K23" s="81">
        <f>J23+H23</f>
        <v>0</v>
      </c>
    </row>
    <row r="24" spans="1:11" ht="14.25" collapsed="1">
      <c r="A24" s="73"/>
      <c r="B24" s="73"/>
      <c r="C24" s="74"/>
      <c r="D24" s="75" t="s">
        <v>50</v>
      </c>
      <c r="E24" s="76"/>
      <c r="F24" s="76"/>
      <c r="G24" s="77"/>
      <c r="H24" s="78"/>
      <c r="I24" s="79"/>
      <c r="J24" s="78"/>
      <c r="K24" s="80"/>
    </row>
    <row r="25" spans="1:11" ht="14.25">
      <c r="A25" s="55">
        <f>A23+1</f>
        <v>18</v>
      </c>
      <c r="B25" s="58"/>
      <c r="C25" s="59"/>
      <c r="D25" s="85" t="s">
        <v>76</v>
      </c>
      <c r="E25" s="86" t="s">
        <v>19</v>
      </c>
      <c r="F25" s="82">
        <v>10</v>
      </c>
      <c r="G25" s="61">
        <v>0</v>
      </c>
      <c r="H25" s="57">
        <f>G25*F25</f>
        <v>0</v>
      </c>
      <c r="I25" s="61">
        <v>0</v>
      </c>
      <c r="J25" s="57">
        <f>I25*F25</f>
        <v>0</v>
      </c>
      <c r="K25" s="81">
        <f>J25+H25</f>
        <v>0</v>
      </c>
    </row>
    <row r="26" spans="1:11" ht="14.25">
      <c r="A26" s="55">
        <f>A25+1</f>
        <v>19</v>
      </c>
      <c r="B26" s="58"/>
      <c r="C26" s="59"/>
      <c r="D26" s="85" t="s">
        <v>115</v>
      </c>
      <c r="E26" s="86" t="s">
        <v>19</v>
      </c>
      <c r="F26" s="82">
        <v>56</v>
      </c>
      <c r="G26" s="61">
        <v>0</v>
      </c>
      <c r="H26" s="57">
        <f>G26*F26</f>
        <v>0</v>
      </c>
      <c r="I26" s="61">
        <v>0</v>
      </c>
      <c r="J26" s="57">
        <f>I26*F26</f>
        <v>0</v>
      </c>
      <c r="K26" s="81">
        <f>J26+H26</f>
        <v>0</v>
      </c>
    </row>
    <row r="27" spans="1:11" ht="14.25">
      <c r="A27" s="55">
        <f>A26+1</f>
        <v>20</v>
      </c>
      <c r="B27" s="58"/>
      <c r="C27" s="59"/>
      <c r="D27" s="85" t="s">
        <v>77</v>
      </c>
      <c r="E27" s="86" t="s">
        <v>19</v>
      </c>
      <c r="F27" s="82">
        <v>10</v>
      </c>
      <c r="G27" s="61">
        <v>0</v>
      </c>
      <c r="H27" s="57">
        <f>G27*F27</f>
        <v>0</v>
      </c>
      <c r="I27" s="61">
        <v>0</v>
      </c>
      <c r="J27" s="57">
        <f>I27*F27</f>
        <v>0</v>
      </c>
      <c r="K27" s="81">
        <f>J27+H27</f>
        <v>0</v>
      </c>
    </row>
    <row r="28" spans="1:11" ht="14.25" collapsed="1">
      <c r="A28" s="73"/>
      <c r="B28" s="73"/>
      <c r="C28" s="74"/>
      <c r="D28" s="75" t="s">
        <v>81</v>
      </c>
      <c r="E28" s="76"/>
      <c r="F28" s="76"/>
      <c r="G28" s="77"/>
      <c r="H28" s="78"/>
      <c r="I28" s="79"/>
      <c r="J28" s="78"/>
      <c r="K28" s="80"/>
    </row>
    <row r="29" spans="1:11" ht="14.25">
      <c r="A29" s="55">
        <f>A27+1</f>
        <v>21</v>
      </c>
      <c r="B29" s="58"/>
      <c r="C29" s="59"/>
      <c r="D29" s="85" t="s">
        <v>80</v>
      </c>
      <c r="E29" s="86" t="s">
        <v>37</v>
      </c>
      <c r="F29" s="82">
        <v>10</v>
      </c>
      <c r="G29" s="61">
        <v>0</v>
      </c>
      <c r="H29" s="57">
        <f>G29*F29</f>
        <v>0</v>
      </c>
      <c r="I29" s="61">
        <v>0</v>
      </c>
      <c r="J29" s="57">
        <f>I29*F29</f>
        <v>0</v>
      </c>
      <c r="K29" s="81">
        <f>J29+H29</f>
        <v>0</v>
      </c>
    </row>
    <row r="30" spans="1:11" ht="14.25" collapsed="1">
      <c r="A30" s="73"/>
      <c r="B30" s="73"/>
      <c r="C30" s="74"/>
      <c r="D30" s="75" t="s">
        <v>42</v>
      </c>
      <c r="E30" s="76"/>
      <c r="F30" s="76"/>
      <c r="G30" s="77"/>
      <c r="H30" s="78"/>
      <c r="I30" s="79"/>
      <c r="J30" s="78"/>
      <c r="K30" s="80"/>
    </row>
    <row r="31" spans="1:11" ht="14.25">
      <c r="A31" s="55">
        <f>A29+1</f>
        <v>22</v>
      </c>
      <c r="B31" s="58"/>
      <c r="C31" s="59"/>
      <c r="D31" s="85" t="s">
        <v>69</v>
      </c>
      <c r="E31" s="86" t="s">
        <v>37</v>
      </c>
      <c r="F31" s="82">
        <v>50</v>
      </c>
      <c r="G31" s="61">
        <v>0</v>
      </c>
      <c r="H31" s="57">
        <f>G31*F31</f>
        <v>0</v>
      </c>
      <c r="I31" s="61">
        <v>0</v>
      </c>
      <c r="J31" s="57">
        <f>I31*F31</f>
        <v>0</v>
      </c>
      <c r="K31" s="81">
        <f>J31+H31</f>
        <v>0</v>
      </c>
    </row>
    <row r="32" spans="1:11" ht="14.25">
      <c r="A32" s="55">
        <f>A31+1</f>
        <v>23</v>
      </c>
      <c r="B32" s="58"/>
      <c r="C32" s="59"/>
      <c r="D32" s="85" t="s">
        <v>70</v>
      </c>
      <c r="E32" s="86" t="s">
        <v>37</v>
      </c>
      <c r="F32" s="82">
        <v>50</v>
      </c>
      <c r="G32" s="61">
        <v>0</v>
      </c>
      <c r="H32" s="57">
        <f>G32*F32</f>
        <v>0</v>
      </c>
      <c r="I32" s="61">
        <v>0</v>
      </c>
      <c r="J32" s="57">
        <f>I32*F32</f>
        <v>0</v>
      </c>
      <c r="K32" s="81">
        <f>J32+H32</f>
        <v>0</v>
      </c>
    </row>
    <row r="33" spans="1:11" ht="14.25" collapsed="1">
      <c r="A33" s="73"/>
      <c r="B33" s="73"/>
      <c r="C33" s="74"/>
      <c r="D33" s="75" t="s">
        <v>53</v>
      </c>
      <c r="E33" s="76"/>
      <c r="F33" s="76"/>
      <c r="G33" s="77"/>
      <c r="H33" s="78"/>
      <c r="I33" s="79"/>
      <c r="J33" s="78"/>
      <c r="K33" s="80"/>
    </row>
    <row r="34" spans="1:11" ht="14.25">
      <c r="A34" s="55">
        <f>A32+1</f>
        <v>24</v>
      </c>
      <c r="B34" s="58"/>
      <c r="C34" s="59"/>
      <c r="D34" s="85" t="s">
        <v>71</v>
      </c>
      <c r="E34" s="86" t="s">
        <v>19</v>
      </c>
      <c r="F34" s="82">
        <v>653</v>
      </c>
      <c r="G34" s="61">
        <v>0</v>
      </c>
      <c r="H34" s="57">
        <f>G34*F34</f>
        <v>0</v>
      </c>
      <c r="I34" s="61">
        <v>0</v>
      </c>
      <c r="J34" s="57">
        <f>I34*F34</f>
        <v>0</v>
      </c>
      <c r="K34" s="81">
        <f>J34+H34</f>
        <v>0</v>
      </c>
    </row>
    <row r="35" spans="1:11" ht="14.25" collapsed="1">
      <c r="A35" s="73"/>
      <c r="B35" s="73"/>
      <c r="C35" s="74"/>
      <c r="D35" s="75" t="s">
        <v>52</v>
      </c>
      <c r="E35" s="76"/>
      <c r="F35" s="76"/>
      <c r="G35" s="77"/>
      <c r="H35" s="78"/>
      <c r="I35" s="79"/>
      <c r="J35" s="78"/>
      <c r="K35" s="80"/>
    </row>
    <row r="36" spans="1:11" ht="14.25">
      <c r="A36" s="55">
        <f>A34+1</f>
        <v>25</v>
      </c>
      <c r="B36" s="58"/>
      <c r="C36" s="59"/>
      <c r="D36" s="85" t="s">
        <v>72</v>
      </c>
      <c r="E36" s="86" t="s">
        <v>37</v>
      </c>
      <c r="F36" s="82">
        <v>30</v>
      </c>
      <c r="G36" s="61">
        <v>0</v>
      </c>
      <c r="H36" s="57">
        <f>G36*F36</f>
        <v>0</v>
      </c>
      <c r="I36" s="61">
        <v>0</v>
      </c>
      <c r="J36" s="57">
        <f>I36*F36</f>
        <v>0</v>
      </c>
      <c r="K36" s="81">
        <f>J36+H36</f>
        <v>0</v>
      </c>
    </row>
    <row r="37" spans="1:11" ht="14.25" collapsed="1">
      <c r="A37" s="73"/>
      <c r="B37" s="73"/>
      <c r="C37" s="74"/>
      <c r="D37" s="75" t="s">
        <v>39</v>
      </c>
      <c r="E37" s="76"/>
      <c r="F37" s="76"/>
      <c r="G37" s="77"/>
      <c r="H37" s="78"/>
      <c r="I37" s="79"/>
      <c r="J37" s="78"/>
      <c r="K37" s="80"/>
    </row>
    <row r="38" spans="1:11" ht="14.25">
      <c r="A38" s="55">
        <f>A36+1</f>
        <v>26</v>
      </c>
      <c r="B38" s="58"/>
      <c r="C38" s="59"/>
      <c r="D38" s="85" t="s">
        <v>139</v>
      </c>
      <c r="E38" s="86" t="s">
        <v>19</v>
      </c>
      <c r="F38" s="82">
        <v>20</v>
      </c>
      <c r="G38" s="61">
        <v>0</v>
      </c>
      <c r="H38" s="57">
        <f aca="true" t="shared" si="8" ref="H38:H46">G38*F38</f>
        <v>0</v>
      </c>
      <c r="I38" s="61">
        <v>0</v>
      </c>
      <c r="J38" s="57">
        <f aca="true" t="shared" si="9" ref="J38:J46">I38*F38</f>
        <v>0</v>
      </c>
      <c r="K38" s="81">
        <f aca="true" t="shared" si="10" ref="K38:K46">J38+H38</f>
        <v>0</v>
      </c>
    </row>
    <row r="39" spans="1:11" ht="14.25">
      <c r="A39" s="55">
        <f aca="true" t="shared" si="11" ref="A39:A45">A38+1</f>
        <v>27</v>
      </c>
      <c r="B39" s="58"/>
      <c r="C39" s="59"/>
      <c r="D39" s="85" t="s">
        <v>140</v>
      </c>
      <c r="E39" s="86" t="s">
        <v>19</v>
      </c>
      <c r="F39" s="82">
        <v>40</v>
      </c>
      <c r="G39" s="61">
        <v>0</v>
      </c>
      <c r="H39" s="57">
        <f>G39*F39</f>
        <v>0</v>
      </c>
      <c r="I39" s="61">
        <v>0</v>
      </c>
      <c r="J39" s="57">
        <f>I39*F39</f>
        <v>0</v>
      </c>
      <c r="K39" s="81">
        <f>J39+H39</f>
        <v>0</v>
      </c>
    </row>
    <row r="40" spans="1:11" ht="14.25">
      <c r="A40" s="55">
        <f t="shared" si="11"/>
        <v>28</v>
      </c>
      <c r="B40" s="58"/>
      <c r="C40" s="59"/>
      <c r="D40" s="85" t="s">
        <v>145</v>
      </c>
      <c r="E40" s="86" t="s">
        <v>19</v>
      </c>
      <c r="F40" s="82">
        <v>40</v>
      </c>
      <c r="G40" s="61">
        <v>0</v>
      </c>
      <c r="H40" s="57">
        <f>G40*F40</f>
        <v>0</v>
      </c>
      <c r="I40" s="61">
        <v>0</v>
      </c>
      <c r="J40" s="57">
        <f>I40*F40</f>
        <v>0</v>
      </c>
      <c r="K40" s="81">
        <f>J40+H40</f>
        <v>0</v>
      </c>
    </row>
    <row r="41" spans="1:11" ht="14.25">
      <c r="A41" s="55">
        <f t="shared" si="11"/>
        <v>29</v>
      </c>
      <c r="B41" s="58"/>
      <c r="C41" s="59"/>
      <c r="D41" s="85" t="s">
        <v>141</v>
      </c>
      <c r="E41" s="86" t="s">
        <v>19</v>
      </c>
      <c r="F41" s="82">
        <v>370</v>
      </c>
      <c r="G41" s="61">
        <v>0</v>
      </c>
      <c r="H41" s="57">
        <f t="shared" si="8"/>
        <v>0</v>
      </c>
      <c r="I41" s="61">
        <v>0</v>
      </c>
      <c r="J41" s="57">
        <f t="shared" si="9"/>
        <v>0</v>
      </c>
      <c r="K41" s="81">
        <f t="shared" si="10"/>
        <v>0</v>
      </c>
    </row>
    <row r="42" spans="1:11" ht="14.25">
      <c r="A42" s="55">
        <f t="shared" si="11"/>
        <v>30</v>
      </c>
      <c r="B42" s="58"/>
      <c r="C42" s="59"/>
      <c r="D42" s="85" t="s">
        <v>142</v>
      </c>
      <c r="E42" s="86" t="s">
        <v>19</v>
      </c>
      <c r="F42" s="82">
        <v>120</v>
      </c>
      <c r="G42" s="61">
        <v>0</v>
      </c>
      <c r="H42" s="57">
        <f t="shared" si="8"/>
        <v>0</v>
      </c>
      <c r="I42" s="61">
        <v>0</v>
      </c>
      <c r="J42" s="57">
        <f t="shared" si="9"/>
        <v>0</v>
      </c>
      <c r="K42" s="81">
        <f t="shared" si="10"/>
        <v>0</v>
      </c>
    </row>
    <row r="43" spans="1:11" ht="14.25">
      <c r="A43" s="55">
        <f t="shared" si="11"/>
        <v>31</v>
      </c>
      <c r="B43" s="58"/>
      <c r="C43" s="59"/>
      <c r="D43" s="85" t="s">
        <v>143</v>
      </c>
      <c r="E43" s="86" t="s">
        <v>19</v>
      </c>
      <c r="F43" s="82">
        <v>25</v>
      </c>
      <c r="G43" s="61">
        <v>0</v>
      </c>
      <c r="H43" s="57">
        <f t="shared" si="8"/>
        <v>0</v>
      </c>
      <c r="I43" s="61">
        <v>0</v>
      </c>
      <c r="J43" s="57">
        <f t="shared" si="9"/>
        <v>0</v>
      </c>
      <c r="K43" s="81">
        <f t="shared" si="10"/>
        <v>0</v>
      </c>
    </row>
    <row r="44" spans="1:11" ht="14.25">
      <c r="A44" s="55">
        <f t="shared" si="11"/>
        <v>32</v>
      </c>
      <c r="B44" s="58"/>
      <c r="C44" s="59"/>
      <c r="D44" s="85" t="s">
        <v>110</v>
      </c>
      <c r="E44" s="86" t="s">
        <v>19</v>
      </c>
      <c r="F44" s="82">
        <v>8</v>
      </c>
      <c r="G44" s="61">
        <v>0</v>
      </c>
      <c r="H44" s="57">
        <f t="shared" si="8"/>
        <v>0</v>
      </c>
      <c r="I44" s="61">
        <v>0</v>
      </c>
      <c r="J44" s="57">
        <f t="shared" si="9"/>
        <v>0</v>
      </c>
      <c r="K44" s="81">
        <f t="shared" si="10"/>
        <v>0</v>
      </c>
    </row>
    <row r="45" spans="1:11" ht="14.25">
      <c r="A45" s="55">
        <f t="shared" si="11"/>
        <v>33</v>
      </c>
      <c r="B45" s="58"/>
      <c r="C45" s="59"/>
      <c r="D45" s="85" t="s">
        <v>129</v>
      </c>
      <c r="E45" s="86" t="s">
        <v>19</v>
      </c>
      <c r="F45" s="82">
        <v>8</v>
      </c>
      <c r="G45" s="61">
        <v>0</v>
      </c>
      <c r="H45" s="57">
        <f>G45*F45</f>
        <v>0</v>
      </c>
      <c r="I45" s="61">
        <v>0</v>
      </c>
      <c r="J45" s="57">
        <f>I45*F45</f>
        <v>0</v>
      </c>
      <c r="K45" s="81">
        <f>J45+H45</f>
        <v>0</v>
      </c>
    </row>
    <row r="46" spans="1:11" ht="14.25">
      <c r="A46" s="55">
        <f>A44+1</f>
        <v>33</v>
      </c>
      <c r="B46" s="58"/>
      <c r="C46" s="59"/>
      <c r="D46" s="85" t="s">
        <v>111</v>
      </c>
      <c r="E46" s="86" t="s">
        <v>19</v>
      </c>
      <c r="F46" s="82">
        <v>24</v>
      </c>
      <c r="G46" s="61">
        <v>0</v>
      </c>
      <c r="H46" s="57">
        <f t="shared" si="8"/>
        <v>0</v>
      </c>
      <c r="I46" s="61">
        <v>0</v>
      </c>
      <c r="J46" s="57">
        <f t="shared" si="9"/>
        <v>0</v>
      </c>
      <c r="K46" s="81">
        <f t="shared" si="10"/>
        <v>0</v>
      </c>
    </row>
    <row r="47" spans="1:11" ht="14.25">
      <c r="A47" s="73"/>
      <c r="B47" s="73"/>
      <c r="C47" s="74"/>
      <c r="D47" s="75" t="s">
        <v>51</v>
      </c>
      <c r="E47" s="76"/>
      <c r="F47" s="76"/>
      <c r="G47" s="77"/>
      <c r="H47" s="78"/>
      <c r="I47" s="79"/>
      <c r="J47" s="78"/>
      <c r="K47" s="80"/>
    </row>
    <row r="48" spans="1:11" ht="14.25">
      <c r="A48" s="55">
        <f>A46+1</f>
        <v>34</v>
      </c>
      <c r="B48" s="58"/>
      <c r="C48" s="59"/>
      <c r="D48" s="85" t="s">
        <v>126</v>
      </c>
      <c r="E48" s="86" t="s">
        <v>37</v>
      </c>
      <c r="F48" s="82">
        <v>1</v>
      </c>
      <c r="G48" s="61">
        <v>0</v>
      </c>
      <c r="H48" s="57">
        <f>G48*F48</f>
        <v>0</v>
      </c>
      <c r="I48" s="61">
        <v>0</v>
      </c>
      <c r="J48" s="57">
        <f>I48*F48</f>
        <v>0</v>
      </c>
      <c r="K48" s="81">
        <f>J48+H48</f>
        <v>0</v>
      </c>
    </row>
    <row r="49" spans="1:11" ht="14.25">
      <c r="A49" s="55">
        <f>A48+1</f>
        <v>35</v>
      </c>
      <c r="B49" s="58"/>
      <c r="C49" s="59"/>
      <c r="D49" s="85" t="s">
        <v>127</v>
      </c>
      <c r="E49" s="86" t="s">
        <v>37</v>
      </c>
      <c r="F49" s="82">
        <v>1</v>
      </c>
      <c r="G49" s="61">
        <v>0</v>
      </c>
      <c r="H49" s="57">
        <f>G49*F49</f>
        <v>0</v>
      </c>
      <c r="I49" s="61">
        <v>0</v>
      </c>
      <c r="J49" s="57">
        <f>I49*F49</f>
        <v>0</v>
      </c>
      <c r="K49" s="81">
        <f>J49+H49</f>
        <v>0</v>
      </c>
    </row>
    <row r="50" spans="1:11" ht="14.25">
      <c r="A50" s="55">
        <f>A49+1</f>
        <v>36</v>
      </c>
      <c r="B50" s="58"/>
      <c r="C50" s="59"/>
      <c r="D50" s="85" t="s">
        <v>128</v>
      </c>
      <c r="E50" s="86" t="s">
        <v>37</v>
      </c>
      <c r="F50" s="82">
        <v>14</v>
      </c>
      <c r="G50" s="61">
        <v>0</v>
      </c>
      <c r="H50" s="57">
        <f>G50*F50</f>
        <v>0</v>
      </c>
      <c r="I50" s="61">
        <v>0</v>
      </c>
      <c r="J50" s="57">
        <f>I50*F50</f>
        <v>0</v>
      </c>
      <c r="K50" s="81">
        <f>J50+H50</f>
        <v>0</v>
      </c>
    </row>
    <row r="51" spans="1:11" ht="14.25" collapsed="1">
      <c r="A51" s="73"/>
      <c r="B51" s="73"/>
      <c r="C51" s="74"/>
      <c r="D51" s="75" t="s">
        <v>51</v>
      </c>
      <c r="E51" s="76"/>
      <c r="F51" s="76"/>
      <c r="G51" s="77"/>
      <c r="H51" s="78"/>
      <c r="I51" s="79"/>
      <c r="J51" s="78"/>
      <c r="K51" s="80"/>
    </row>
    <row r="52" spans="1:11" ht="22.5">
      <c r="A52" s="55">
        <f>A50+1</f>
        <v>37</v>
      </c>
      <c r="B52" s="58"/>
      <c r="C52" s="59"/>
      <c r="D52" s="85" t="s">
        <v>78</v>
      </c>
      <c r="E52" s="86" t="s">
        <v>37</v>
      </c>
      <c r="F52" s="82">
        <v>2</v>
      </c>
      <c r="G52" s="61">
        <v>0</v>
      </c>
      <c r="H52" s="57">
        <f>G52*F52</f>
        <v>0</v>
      </c>
      <c r="I52" s="61">
        <v>0</v>
      </c>
      <c r="J52" s="57">
        <f>I52*F52</f>
        <v>0</v>
      </c>
      <c r="K52" s="81">
        <f>J52+H52</f>
        <v>0</v>
      </c>
    </row>
    <row r="53" spans="1:11" ht="22.5">
      <c r="A53" s="55">
        <f>A52+1</f>
        <v>38</v>
      </c>
      <c r="B53" s="58"/>
      <c r="C53" s="59"/>
      <c r="D53" s="85" t="s">
        <v>130</v>
      </c>
      <c r="E53" s="86" t="s">
        <v>37</v>
      </c>
      <c r="F53" s="82">
        <v>1</v>
      </c>
      <c r="G53" s="61">
        <v>0</v>
      </c>
      <c r="H53" s="57">
        <f>G53*F53</f>
        <v>0</v>
      </c>
      <c r="I53" s="61">
        <v>0</v>
      </c>
      <c r="J53" s="57">
        <f>I53*F53</f>
        <v>0</v>
      </c>
      <c r="K53" s="81">
        <f>J53+H53</f>
        <v>0</v>
      </c>
    </row>
    <row r="54" spans="1:11" ht="14.25">
      <c r="A54" s="55">
        <f>A53+1</f>
        <v>39</v>
      </c>
      <c r="B54" s="58"/>
      <c r="C54" s="59"/>
      <c r="D54" s="85" t="s">
        <v>125</v>
      </c>
      <c r="E54" s="86" t="s">
        <v>37</v>
      </c>
      <c r="F54" s="82">
        <v>18</v>
      </c>
      <c r="G54" s="61">
        <v>0</v>
      </c>
      <c r="H54" s="57">
        <f>G54*F54</f>
        <v>0</v>
      </c>
      <c r="I54" s="61">
        <v>0</v>
      </c>
      <c r="J54" s="57">
        <f>I54*F54</f>
        <v>0</v>
      </c>
      <c r="K54" s="81">
        <f>J54+H54</f>
        <v>0</v>
      </c>
    </row>
    <row r="55" spans="1:11" ht="14.25">
      <c r="A55" s="55">
        <f>A54+1</f>
        <v>40</v>
      </c>
      <c r="B55" s="58"/>
      <c r="C55" s="59"/>
      <c r="D55" s="85" t="s">
        <v>146</v>
      </c>
      <c r="E55" s="86" t="s">
        <v>37</v>
      </c>
      <c r="F55" s="82">
        <v>15</v>
      </c>
      <c r="G55" s="61">
        <v>0</v>
      </c>
      <c r="H55" s="57">
        <f>G55*F55</f>
        <v>0</v>
      </c>
      <c r="I55" s="61">
        <v>0</v>
      </c>
      <c r="J55" s="57">
        <f>I55*F55</f>
        <v>0</v>
      </c>
      <c r="K55" s="81">
        <f>J55+H55</f>
        <v>0</v>
      </c>
    </row>
    <row r="56" spans="1:11" ht="14.25">
      <c r="A56" s="55">
        <f>A55+1</f>
        <v>41</v>
      </c>
      <c r="B56" s="58"/>
      <c r="C56" s="59"/>
      <c r="D56" s="85" t="s">
        <v>147</v>
      </c>
      <c r="E56" s="86" t="s">
        <v>37</v>
      </c>
      <c r="F56" s="82">
        <v>20</v>
      </c>
      <c r="G56" s="61">
        <v>0</v>
      </c>
      <c r="H56" s="57">
        <f>G56*F56</f>
        <v>0</v>
      </c>
      <c r="I56" s="61">
        <v>0</v>
      </c>
      <c r="J56" s="57">
        <f>I56*F56</f>
        <v>0</v>
      </c>
      <c r="K56" s="81">
        <f>J56+H56</f>
        <v>0</v>
      </c>
    </row>
    <row r="57" spans="1:11" ht="14.25" collapsed="1">
      <c r="A57" s="73"/>
      <c r="B57" s="73"/>
      <c r="C57" s="74"/>
      <c r="D57" s="75" t="s">
        <v>74</v>
      </c>
      <c r="E57" s="76"/>
      <c r="F57" s="76"/>
      <c r="G57" s="77"/>
      <c r="H57" s="78"/>
      <c r="I57" s="79"/>
      <c r="J57" s="78"/>
      <c r="K57" s="80"/>
    </row>
    <row r="58" spans="1:11" ht="14.25">
      <c r="A58" s="55">
        <f>A56+1</f>
        <v>42</v>
      </c>
      <c r="B58" s="58"/>
      <c r="C58" s="59"/>
      <c r="D58" s="85" t="s">
        <v>131</v>
      </c>
      <c r="E58" s="86" t="s">
        <v>37</v>
      </c>
      <c r="F58" s="82">
        <v>3</v>
      </c>
      <c r="G58" s="57">
        <v>0</v>
      </c>
      <c r="H58" s="57">
        <f>G58*F58</f>
        <v>0</v>
      </c>
      <c r="I58" s="61">
        <v>0</v>
      </c>
      <c r="J58" s="57">
        <f>I58*F58</f>
        <v>0</v>
      </c>
      <c r="K58" s="81">
        <f>J58+H58</f>
        <v>0</v>
      </c>
    </row>
    <row r="59" spans="1:11" ht="14.25">
      <c r="A59" s="55">
        <f>A58+1</f>
        <v>43</v>
      </c>
      <c r="B59" s="58"/>
      <c r="C59" s="59"/>
      <c r="D59" s="85" t="s">
        <v>132</v>
      </c>
      <c r="E59" s="86" t="s">
        <v>37</v>
      </c>
      <c r="F59" s="82">
        <v>6</v>
      </c>
      <c r="G59" s="57">
        <v>0</v>
      </c>
      <c r="H59" s="57">
        <f>G59*F59</f>
        <v>0</v>
      </c>
      <c r="I59" s="61">
        <v>0</v>
      </c>
      <c r="J59" s="57">
        <f>I59*F59</f>
        <v>0</v>
      </c>
      <c r="K59" s="81">
        <f>J59+H59</f>
        <v>0</v>
      </c>
    </row>
    <row r="60" spans="1:11" ht="14.25">
      <c r="A60" s="55">
        <f>A59+1</f>
        <v>44</v>
      </c>
      <c r="B60" s="58"/>
      <c r="C60" s="59"/>
      <c r="D60" s="85" t="s">
        <v>153</v>
      </c>
      <c r="E60" s="86" t="s">
        <v>37</v>
      </c>
      <c r="F60" s="82">
        <v>3</v>
      </c>
      <c r="G60" s="57">
        <v>0</v>
      </c>
      <c r="H60" s="57">
        <f>G60*F60</f>
        <v>0</v>
      </c>
      <c r="I60" s="61">
        <v>0</v>
      </c>
      <c r="J60" s="57">
        <f>I60*F60</f>
        <v>0</v>
      </c>
      <c r="K60" s="81">
        <f>J60+H60</f>
        <v>0</v>
      </c>
    </row>
    <row r="61" spans="1:11" ht="22.5">
      <c r="A61" s="55">
        <f>A60+1</f>
        <v>45</v>
      </c>
      <c r="B61" s="58"/>
      <c r="C61" s="59"/>
      <c r="D61" s="85" t="s">
        <v>75</v>
      </c>
      <c r="E61" s="86" t="s">
        <v>37</v>
      </c>
      <c r="F61" s="82">
        <v>1</v>
      </c>
      <c r="G61" s="57">
        <v>0</v>
      </c>
      <c r="H61" s="57">
        <f>G61*F61</f>
        <v>0</v>
      </c>
      <c r="I61" s="61">
        <v>0</v>
      </c>
      <c r="J61" s="57">
        <f>I61*F61</f>
        <v>0</v>
      </c>
      <c r="K61" s="81">
        <f>J61+H61</f>
        <v>0</v>
      </c>
    </row>
    <row r="62" spans="1:11" ht="14.25" collapsed="1">
      <c r="A62" s="73"/>
      <c r="B62" s="73"/>
      <c r="C62" s="74"/>
      <c r="D62" s="75" t="s">
        <v>54</v>
      </c>
      <c r="E62" s="76"/>
      <c r="F62" s="76"/>
      <c r="G62" s="77"/>
      <c r="H62" s="78"/>
      <c r="I62" s="79"/>
      <c r="J62" s="78"/>
      <c r="K62" s="80"/>
    </row>
    <row r="63" spans="1:11" ht="14.25">
      <c r="A63" s="55">
        <f>A61+1</f>
        <v>46</v>
      </c>
      <c r="B63" s="58"/>
      <c r="C63" s="59"/>
      <c r="D63" s="60" t="s">
        <v>79</v>
      </c>
      <c r="E63" s="86" t="s">
        <v>37</v>
      </c>
      <c r="F63" s="82">
        <v>2</v>
      </c>
      <c r="G63" s="61">
        <v>0</v>
      </c>
      <c r="H63" s="57">
        <f>G63*F63</f>
        <v>0</v>
      </c>
      <c r="I63" s="61">
        <v>0</v>
      </c>
      <c r="J63" s="57">
        <f>I63*F63</f>
        <v>0</v>
      </c>
      <c r="K63" s="81">
        <f>J63+H63</f>
        <v>0</v>
      </c>
    </row>
    <row r="64" spans="1:11" ht="14.25" collapsed="1">
      <c r="A64" s="73"/>
      <c r="B64" s="73"/>
      <c r="C64" s="74"/>
      <c r="D64" s="75" t="s">
        <v>40</v>
      </c>
      <c r="E64" s="76"/>
      <c r="F64" s="76"/>
      <c r="G64" s="77"/>
      <c r="H64" s="78"/>
      <c r="I64" s="79"/>
      <c r="J64" s="78"/>
      <c r="K64" s="80"/>
    </row>
    <row r="65" spans="1:11" ht="14.25">
      <c r="A65" s="55">
        <f>A63+1</f>
        <v>47</v>
      </c>
      <c r="B65" s="58"/>
      <c r="C65" s="59"/>
      <c r="D65" s="60" t="s">
        <v>133</v>
      </c>
      <c r="E65" s="86" t="s">
        <v>37</v>
      </c>
      <c r="F65" s="82">
        <v>30</v>
      </c>
      <c r="G65" s="61">
        <v>0</v>
      </c>
      <c r="H65" s="57">
        <f>G65*F65</f>
        <v>0</v>
      </c>
      <c r="I65" s="61">
        <v>0</v>
      </c>
      <c r="J65" s="57">
        <f>I65*F65</f>
        <v>0</v>
      </c>
      <c r="K65" s="81">
        <f>J65+H65</f>
        <v>0</v>
      </c>
    </row>
    <row r="66" spans="1:11" ht="14.25" collapsed="1">
      <c r="A66" s="73"/>
      <c r="B66" s="73"/>
      <c r="C66" s="74"/>
      <c r="D66" s="75" t="s">
        <v>41</v>
      </c>
      <c r="E66" s="76"/>
      <c r="F66" s="76"/>
      <c r="G66" s="77"/>
      <c r="H66" s="78"/>
      <c r="I66" s="79"/>
      <c r="J66" s="78"/>
      <c r="K66" s="80"/>
    </row>
    <row r="67" spans="1:11" ht="14.25">
      <c r="A67" s="55">
        <f>A65+1</f>
        <v>48</v>
      </c>
      <c r="B67" s="58"/>
      <c r="C67" s="59"/>
      <c r="D67" s="60" t="s">
        <v>112</v>
      </c>
      <c r="E67" s="86" t="s">
        <v>37</v>
      </c>
      <c r="F67" s="82">
        <v>2</v>
      </c>
      <c r="G67" s="61">
        <v>0</v>
      </c>
      <c r="H67" s="57">
        <f>G67*F67</f>
        <v>0</v>
      </c>
      <c r="I67" s="61">
        <v>0</v>
      </c>
      <c r="J67" s="57">
        <f>I67*F67</f>
        <v>0</v>
      </c>
      <c r="K67" s="81">
        <f>J67+H67</f>
        <v>0</v>
      </c>
    </row>
    <row r="68" spans="1:11" ht="22.5">
      <c r="A68" s="55">
        <f>A67+1</f>
        <v>49</v>
      </c>
      <c r="B68" s="58"/>
      <c r="C68" s="59"/>
      <c r="D68" s="60" t="s">
        <v>73</v>
      </c>
      <c r="E68" s="86" t="s">
        <v>37</v>
      </c>
      <c r="F68" s="82">
        <v>1</v>
      </c>
      <c r="G68" s="61">
        <v>0</v>
      </c>
      <c r="H68" s="57">
        <f>G68*F68</f>
        <v>0</v>
      </c>
      <c r="I68" s="61">
        <v>0</v>
      </c>
      <c r="J68" s="57">
        <f>I68*F68</f>
        <v>0</v>
      </c>
      <c r="K68" s="81">
        <f>J68+H68</f>
        <v>0</v>
      </c>
    </row>
    <row r="69" spans="1:11" ht="14.25" collapsed="1">
      <c r="A69" s="73"/>
      <c r="B69" s="73"/>
      <c r="C69" s="74"/>
      <c r="D69" s="75" t="s">
        <v>43</v>
      </c>
      <c r="E69" s="76"/>
      <c r="F69" s="76"/>
      <c r="G69" s="77"/>
      <c r="H69" s="78"/>
      <c r="I69" s="79"/>
      <c r="J69" s="78"/>
      <c r="K69" s="80"/>
    </row>
    <row r="70" spans="1:11" ht="14.25">
      <c r="A70" s="90">
        <f>A68+1</f>
        <v>50</v>
      </c>
      <c r="B70" s="91"/>
      <c r="C70" s="92"/>
      <c r="D70" s="85" t="s">
        <v>89</v>
      </c>
      <c r="E70" s="86" t="s">
        <v>19</v>
      </c>
      <c r="F70" s="93">
        <v>1</v>
      </c>
      <c r="G70" s="94">
        <v>0</v>
      </c>
      <c r="H70" s="95">
        <f>G70*F70</f>
        <v>0</v>
      </c>
      <c r="I70" s="61">
        <v>0</v>
      </c>
      <c r="J70" s="95">
        <f>I70*F70</f>
        <v>0</v>
      </c>
      <c r="K70" s="96">
        <f>J70+H70</f>
        <v>0</v>
      </c>
    </row>
    <row r="71" spans="1:11" ht="14.25">
      <c r="A71" s="90">
        <f>A70+1</f>
        <v>51</v>
      </c>
      <c r="B71" s="91"/>
      <c r="C71" s="92"/>
      <c r="D71" s="85" t="s">
        <v>90</v>
      </c>
      <c r="E71" s="86" t="s">
        <v>19</v>
      </c>
      <c r="F71" s="93">
        <v>1</v>
      </c>
      <c r="G71" s="94">
        <v>0</v>
      </c>
      <c r="H71" s="95">
        <f>G71*F71</f>
        <v>0</v>
      </c>
      <c r="I71" s="61">
        <v>0</v>
      </c>
      <c r="J71" s="95">
        <f>I71*F71</f>
        <v>0</v>
      </c>
      <c r="K71" s="96">
        <f>J71+H71</f>
        <v>0</v>
      </c>
    </row>
    <row r="72" spans="1:11" ht="14.25">
      <c r="A72" s="90">
        <f>A71+1</f>
        <v>52</v>
      </c>
      <c r="B72" s="91"/>
      <c r="C72" s="92"/>
      <c r="D72" s="60" t="s">
        <v>92</v>
      </c>
      <c r="E72" s="86" t="s">
        <v>37</v>
      </c>
      <c r="F72" s="93">
        <v>1</v>
      </c>
      <c r="G72" s="94">
        <v>0</v>
      </c>
      <c r="H72" s="95">
        <f>G72*F72</f>
        <v>0</v>
      </c>
      <c r="I72" s="61">
        <v>0</v>
      </c>
      <c r="J72" s="95">
        <f>I72*F72</f>
        <v>0</v>
      </c>
      <c r="K72" s="96">
        <f>J72+H72</f>
        <v>0</v>
      </c>
    </row>
    <row r="73" spans="1:11" ht="14.25">
      <c r="A73" s="90">
        <f>A72+1</f>
        <v>53</v>
      </c>
      <c r="B73" s="91"/>
      <c r="C73" s="92"/>
      <c r="D73" s="85" t="s">
        <v>91</v>
      </c>
      <c r="E73" s="86" t="s">
        <v>37</v>
      </c>
      <c r="F73" s="93">
        <v>30</v>
      </c>
      <c r="G73" s="94">
        <v>0</v>
      </c>
      <c r="H73" s="95">
        <f>G73*F73</f>
        <v>0</v>
      </c>
      <c r="I73" s="61">
        <v>0</v>
      </c>
      <c r="J73" s="95">
        <f>I73*F73</f>
        <v>0</v>
      </c>
      <c r="K73" s="96">
        <f>J73+H73</f>
        <v>0</v>
      </c>
    </row>
    <row r="74" spans="1:11" ht="14.25">
      <c r="A74" s="73"/>
      <c r="B74" s="73"/>
      <c r="C74" s="74"/>
      <c r="D74" s="75" t="s">
        <v>154</v>
      </c>
      <c r="E74" s="76"/>
      <c r="F74" s="76"/>
      <c r="G74" s="77"/>
      <c r="H74" s="78"/>
      <c r="I74" s="79"/>
      <c r="J74" s="78"/>
      <c r="K74" s="80"/>
    </row>
    <row r="75" spans="1:11" ht="14.25">
      <c r="A75" s="90">
        <f>A73+1</f>
        <v>54</v>
      </c>
      <c r="B75" s="58"/>
      <c r="C75" s="59"/>
      <c r="D75" s="85" t="s">
        <v>155</v>
      </c>
      <c r="E75" s="86" t="s">
        <v>37</v>
      </c>
      <c r="F75" s="82">
        <v>1</v>
      </c>
      <c r="G75" s="61">
        <v>0</v>
      </c>
      <c r="H75" s="57">
        <f>G75*F75</f>
        <v>0</v>
      </c>
      <c r="I75" s="61">
        <v>0</v>
      </c>
      <c r="J75" s="57">
        <f>I75*F75</f>
        <v>0</v>
      </c>
      <c r="K75" s="81">
        <f>J75+H75</f>
        <v>0</v>
      </c>
    </row>
    <row r="76" spans="1:11" ht="14.25">
      <c r="A76" s="90">
        <f>A75+1</f>
        <v>55</v>
      </c>
      <c r="B76" s="58"/>
      <c r="C76" s="59"/>
      <c r="D76" s="85" t="s">
        <v>157</v>
      </c>
      <c r="E76" s="86" t="s">
        <v>37</v>
      </c>
      <c r="F76" s="82">
        <v>4</v>
      </c>
      <c r="G76" s="61">
        <v>0</v>
      </c>
      <c r="H76" s="57">
        <f>G76*F76</f>
        <v>0</v>
      </c>
      <c r="I76" s="61">
        <v>0</v>
      </c>
      <c r="J76" s="57">
        <f>I76*F76</f>
        <v>0</v>
      </c>
      <c r="K76" s="81">
        <f>J76+H76</f>
        <v>0</v>
      </c>
    </row>
    <row r="77" spans="1:11" ht="14.25" collapsed="1">
      <c r="A77" s="73"/>
      <c r="B77" s="73"/>
      <c r="C77" s="74"/>
      <c r="D77" s="75" t="s">
        <v>55</v>
      </c>
      <c r="E77" s="76"/>
      <c r="F77" s="76"/>
      <c r="G77" s="77"/>
      <c r="H77" s="78"/>
      <c r="I77" s="79"/>
      <c r="J77" s="78"/>
      <c r="K77" s="80"/>
    </row>
    <row r="78" spans="1:11" ht="22.5">
      <c r="A78" s="90">
        <f>A76+1</f>
        <v>56</v>
      </c>
      <c r="B78" s="58"/>
      <c r="C78" s="59"/>
      <c r="D78" s="85" t="s">
        <v>150</v>
      </c>
      <c r="E78" s="86" t="s">
        <v>108</v>
      </c>
      <c r="F78" s="82">
        <v>1</v>
      </c>
      <c r="G78" s="61">
        <v>0</v>
      </c>
      <c r="H78" s="57">
        <f>G78*F78</f>
        <v>0</v>
      </c>
      <c r="I78" s="61">
        <v>0</v>
      </c>
      <c r="J78" s="57">
        <f>I78*F78</f>
        <v>0</v>
      </c>
      <c r="K78" s="81">
        <f>J78+H78</f>
        <v>0</v>
      </c>
    </row>
    <row r="79" spans="1:11" ht="14.25" collapsed="1">
      <c r="A79" s="73"/>
      <c r="B79" s="73"/>
      <c r="C79" s="74"/>
      <c r="D79" s="75" t="s">
        <v>46</v>
      </c>
      <c r="E79" s="76"/>
      <c r="F79" s="76"/>
      <c r="G79" s="77"/>
      <c r="H79" s="78"/>
      <c r="I79" s="79"/>
      <c r="J79" s="78"/>
      <c r="K79" s="80"/>
    </row>
    <row r="80" spans="1:11" ht="14.25">
      <c r="A80" s="90">
        <f>A78+1</f>
        <v>57</v>
      </c>
      <c r="B80" s="58"/>
      <c r="C80" s="59"/>
      <c r="D80" s="85" t="s">
        <v>68</v>
      </c>
      <c r="E80" s="86" t="s">
        <v>37</v>
      </c>
      <c r="F80" s="82">
        <v>19</v>
      </c>
      <c r="G80" s="61">
        <v>0</v>
      </c>
      <c r="H80" s="57">
        <f aca="true" t="shared" si="12" ref="H80:H88">G80*F80</f>
        <v>0</v>
      </c>
      <c r="I80" s="61">
        <v>0</v>
      </c>
      <c r="J80" s="57">
        <f aca="true" t="shared" si="13" ref="J80:J88">I80*F80</f>
        <v>0</v>
      </c>
      <c r="K80" s="81">
        <f aca="true" t="shared" si="14" ref="K80:K88">J80+H80</f>
        <v>0</v>
      </c>
    </row>
    <row r="81" spans="1:11" ht="14.25">
      <c r="A81" s="90">
        <f aca="true" t="shared" si="15" ref="A81:A88">A80+1</f>
        <v>58</v>
      </c>
      <c r="B81" s="58"/>
      <c r="C81" s="59"/>
      <c r="D81" s="85" t="s">
        <v>148</v>
      </c>
      <c r="E81" s="86" t="s">
        <v>37</v>
      </c>
      <c r="F81" s="82">
        <v>1</v>
      </c>
      <c r="G81" s="61">
        <v>0</v>
      </c>
      <c r="H81" s="57">
        <f t="shared" si="12"/>
        <v>0</v>
      </c>
      <c r="I81" s="61">
        <v>0</v>
      </c>
      <c r="J81" s="57">
        <f t="shared" si="13"/>
        <v>0</v>
      </c>
      <c r="K81" s="81">
        <f t="shared" si="14"/>
        <v>0</v>
      </c>
    </row>
    <row r="82" spans="1:11" ht="14.25">
      <c r="A82" s="90">
        <f t="shared" si="15"/>
        <v>59</v>
      </c>
      <c r="B82" s="58"/>
      <c r="C82" s="59"/>
      <c r="D82" s="85" t="s">
        <v>134</v>
      </c>
      <c r="E82" s="86" t="s">
        <v>37</v>
      </c>
      <c r="F82" s="82">
        <v>2</v>
      </c>
      <c r="G82" s="61">
        <v>0</v>
      </c>
      <c r="H82" s="57">
        <f t="shared" si="12"/>
        <v>0</v>
      </c>
      <c r="I82" s="61">
        <v>0</v>
      </c>
      <c r="J82" s="57">
        <f t="shared" si="13"/>
        <v>0</v>
      </c>
      <c r="K82" s="81">
        <f t="shared" si="14"/>
        <v>0</v>
      </c>
    </row>
    <row r="83" spans="1:11" ht="14.25">
      <c r="A83" s="90">
        <f t="shared" si="15"/>
        <v>60</v>
      </c>
      <c r="B83" s="58"/>
      <c r="C83" s="59"/>
      <c r="D83" s="85" t="s">
        <v>135</v>
      </c>
      <c r="E83" s="86" t="s">
        <v>37</v>
      </c>
      <c r="F83" s="82">
        <v>1</v>
      </c>
      <c r="G83" s="61">
        <v>0</v>
      </c>
      <c r="H83" s="57">
        <f t="shared" si="12"/>
        <v>0</v>
      </c>
      <c r="I83" s="61">
        <v>0</v>
      </c>
      <c r="J83" s="57">
        <f t="shared" si="13"/>
        <v>0</v>
      </c>
      <c r="K83" s="81">
        <f t="shared" si="14"/>
        <v>0</v>
      </c>
    </row>
    <row r="84" spans="1:11" ht="22.5">
      <c r="A84" s="90">
        <f t="shared" si="15"/>
        <v>61</v>
      </c>
      <c r="B84" s="58"/>
      <c r="C84" s="59"/>
      <c r="D84" s="85" t="s">
        <v>149</v>
      </c>
      <c r="E84" s="86" t="s">
        <v>37</v>
      </c>
      <c r="F84" s="82">
        <v>2</v>
      </c>
      <c r="G84" s="61">
        <v>0</v>
      </c>
      <c r="H84" s="57">
        <f t="shared" si="12"/>
        <v>0</v>
      </c>
      <c r="I84" s="61">
        <v>0</v>
      </c>
      <c r="J84" s="57">
        <f t="shared" si="13"/>
        <v>0</v>
      </c>
      <c r="K84" s="81">
        <f t="shared" si="14"/>
        <v>0</v>
      </c>
    </row>
    <row r="85" spans="1:11" ht="14.25">
      <c r="A85" s="90">
        <f t="shared" si="15"/>
        <v>62</v>
      </c>
      <c r="B85" s="58"/>
      <c r="C85" s="59"/>
      <c r="D85" s="85" t="s">
        <v>152</v>
      </c>
      <c r="E85" s="86" t="s">
        <v>37</v>
      </c>
      <c r="F85" s="82">
        <v>1</v>
      </c>
      <c r="G85" s="61">
        <v>0</v>
      </c>
      <c r="H85" s="57">
        <f t="shared" si="12"/>
        <v>0</v>
      </c>
      <c r="I85" s="61">
        <v>0</v>
      </c>
      <c r="J85" s="57">
        <f t="shared" si="13"/>
        <v>0</v>
      </c>
      <c r="K85" s="81">
        <f t="shared" si="14"/>
        <v>0</v>
      </c>
    </row>
    <row r="86" spans="1:11" ht="22.5">
      <c r="A86" s="90">
        <f t="shared" si="15"/>
        <v>63</v>
      </c>
      <c r="B86" s="58"/>
      <c r="C86" s="59"/>
      <c r="D86" s="85" t="s">
        <v>151</v>
      </c>
      <c r="E86" s="86" t="s">
        <v>37</v>
      </c>
      <c r="F86" s="82">
        <v>1</v>
      </c>
      <c r="G86" s="61">
        <v>0</v>
      </c>
      <c r="H86" s="57">
        <f t="shared" si="12"/>
        <v>0</v>
      </c>
      <c r="I86" s="61">
        <v>0</v>
      </c>
      <c r="J86" s="57">
        <f t="shared" si="13"/>
        <v>0</v>
      </c>
      <c r="K86" s="81">
        <f t="shared" si="14"/>
        <v>0</v>
      </c>
    </row>
    <row r="87" spans="1:11" ht="22.5">
      <c r="A87" s="90">
        <f t="shared" si="15"/>
        <v>64</v>
      </c>
      <c r="B87" s="58"/>
      <c r="C87" s="59"/>
      <c r="D87" s="85" t="s">
        <v>144</v>
      </c>
      <c r="E87" s="86" t="s">
        <v>37</v>
      </c>
      <c r="F87" s="82">
        <v>1</v>
      </c>
      <c r="G87" s="61">
        <v>0</v>
      </c>
      <c r="H87" s="57">
        <f t="shared" si="12"/>
        <v>0</v>
      </c>
      <c r="I87" s="61">
        <v>0</v>
      </c>
      <c r="J87" s="57">
        <f t="shared" si="13"/>
        <v>0</v>
      </c>
      <c r="K87" s="81">
        <f t="shared" si="14"/>
        <v>0</v>
      </c>
    </row>
    <row r="88" spans="1:11" ht="14.25">
      <c r="A88" s="90">
        <f t="shared" si="15"/>
        <v>65</v>
      </c>
      <c r="B88" s="58"/>
      <c r="C88" s="59"/>
      <c r="D88" s="85" t="s">
        <v>138</v>
      </c>
      <c r="E88" s="86" t="s">
        <v>37</v>
      </c>
      <c r="F88" s="82">
        <v>2</v>
      </c>
      <c r="G88" s="61">
        <v>0</v>
      </c>
      <c r="H88" s="57">
        <f t="shared" si="12"/>
        <v>0</v>
      </c>
      <c r="I88" s="61">
        <v>0</v>
      </c>
      <c r="J88" s="57">
        <f t="shared" si="13"/>
        <v>0</v>
      </c>
      <c r="K88" s="81">
        <f t="shared" si="14"/>
        <v>0</v>
      </c>
    </row>
    <row r="89" spans="1:11" ht="14.25" collapsed="1">
      <c r="A89" s="73"/>
      <c r="B89" s="73"/>
      <c r="C89" s="74"/>
      <c r="D89" s="75" t="s">
        <v>44</v>
      </c>
      <c r="E89" s="76"/>
      <c r="F89" s="76"/>
      <c r="G89" s="77"/>
      <c r="H89" s="78"/>
      <c r="I89" s="79"/>
      <c r="J89" s="78"/>
      <c r="K89" s="80"/>
    </row>
    <row r="90" spans="1:11" ht="14.25">
      <c r="A90" s="90">
        <f>A88+1</f>
        <v>66</v>
      </c>
      <c r="B90" s="91"/>
      <c r="C90" s="92"/>
      <c r="D90" s="97" t="s">
        <v>93</v>
      </c>
      <c r="E90" s="86" t="s">
        <v>37</v>
      </c>
      <c r="F90" s="93">
        <v>1</v>
      </c>
      <c r="G90" s="94">
        <v>0</v>
      </c>
      <c r="H90" s="95">
        <f aca="true" t="shared" si="16" ref="H90:H96">G90*F90</f>
        <v>0</v>
      </c>
      <c r="I90" s="61">
        <v>0</v>
      </c>
      <c r="J90" s="95">
        <f aca="true" t="shared" si="17" ref="J90:J96">I90*F90</f>
        <v>0</v>
      </c>
      <c r="K90" s="96">
        <f aca="true" t="shared" si="18" ref="K90:K96">J90+H90</f>
        <v>0</v>
      </c>
    </row>
    <row r="91" spans="1:11" ht="14.25">
      <c r="A91" s="90">
        <f aca="true" t="shared" si="19" ref="A91:A96">A90+1</f>
        <v>67</v>
      </c>
      <c r="B91" s="91"/>
      <c r="C91" s="92"/>
      <c r="D91" s="97" t="s">
        <v>94</v>
      </c>
      <c r="E91" s="86" t="s">
        <v>37</v>
      </c>
      <c r="F91" s="93">
        <v>1</v>
      </c>
      <c r="G91" s="94">
        <v>0</v>
      </c>
      <c r="H91" s="95">
        <f t="shared" si="16"/>
        <v>0</v>
      </c>
      <c r="I91" s="61">
        <v>0</v>
      </c>
      <c r="J91" s="95">
        <f t="shared" si="17"/>
        <v>0</v>
      </c>
      <c r="K91" s="96">
        <f t="shared" si="18"/>
        <v>0</v>
      </c>
    </row>
    <row r="92" spans="1:11" ht="14.25">
      <c r="A92" s="90">
        <f t="shared" si="19"/>
        <v>68</v>
      </c>
      <c r="B92" s="91"/>
      <c r="C92" s="92"/>
      <c r="D92" s="97" t="s">
        <v>95</v>
      </c>
      <c r="E92" s="86" t="s">
        <v>37</v>
      </c>
      <c r="F92" s="93">
        <v>2</v>
      </c>
      <c r="G92" s="94">
        <v>0</v>
      </c>
      <c r="H92" s="95">
        <f t="shared" si="16"/>
        <v>0</v>
      </c>
      <c r="I92" s="61">
        <v>0</v>
      </c>
      <c r="J92" s="95">
        <f t="shared" si="17"/>
        <v>0</v>
      </c>
      <c r="K92" s="96">
        <f t="shared" si="18"/>
        <v>0</v>
      </c>
    </row>
    <row r="93" spans="1:11" ht="14.25">
      <c r="A93" s="90">
        <f t="shared" si="19"/>
        <v>69</v>
      </c>
      <c r="B93" s="91"/>
      <c r="C93" s="92"/>
      <c r="D93" s="97" t="s">
        <v>96</v>
      </c>
      <c r="E93" s="86" t="s">
        <v>37</v>
      </c>
      <c r="F93" s="93">
        <v>2</v>
      </c>
      <c r="G93" s="94">
        <v>0</v>
      </c>
      <c r="H93" s="95">
        <f t="shared" si="16"/>
        <v>0</v>
      </c>
      <c r="I93" s="61">
        <v>0</v>
      </c>
      <c r="J93" s="95">
        <f t="shared" si="17"/>
        <v>0</v>
      </c>
      <c r="K93" s="96">
        <f t="shared" si="18"/>
        <v>0</v>
      </c>
    </row>
    <row r="94" spans="1:11" ht="14.25">
      <c r="A94" s="90">
        <f t="shared" si="19"/>
        <v>70</v>
      </c>
      <c r="B94" s="91"/>
      <c r="C94" s="92"/>
      <c r="D94" s="97" t="s">
        <v>99</v>
      </c>
      <c r="E94" s="86" t="s">
        <v>83</v>
      </c>
      <c r="F94" s="93">
        <v>1</v>
      </c>
      <c r="G94" s="94">
        <v>0</v>
      </c>
      <c r="H94" s="95">
        <f t="shared" si="16"/>
        <v>0</v>
      </c>
      <c r="I94" s="61">
        <v>0</v>
      </c>
      <c r="J94" s="95">
        <f t="shared" si="17"/>
        <v>0</v>
      </c>
      <c r="K94" s="96">
        <f t="shared" si="18"/>
        <v>0</v>
      </c>
    </row>
    <row r="95" spans="1:11" ht="14.25">
      <c r="A95" s="90">
        <f t="shared" si="19"/>
        <v>71</v>
      </c>
      <c r="B95" s="91"/>
      <c r="C95" s="92"/>
      <c r="D95" s="97" t="s">
        <v>98</v>
      </c>
      <c r="E95" s="86" t="s">
        <v>100</v>
      </c>
      <c r="F95" s="93">
        <v>25</v>
      </c>
      <c r="G95" s="94">
        <v>0</v>
      </c>
      <c r="H95" s="95">
        <f t="shared" si="16"/>
        <v>0</v>
      </c>
      <c r="I95" s="61">
        <v>0</v>
      </c>
      <c r="J95" s="95">
        <f t="shared" si="17"/>
        <v>0</v>
      </c>
      <c r="K95" s="96">
        <f t="shared" si="18"/>
        <v>0</v>
      </c>
    </row>
    <row r="96" spans="1:11" ht="14.25">
      <c r="A96" s="90">
        <f t="shared" si="19"/>
        <v>72</v>
      </c>
      <c r="B96" s="91"/>
      <c r="C96" s="92"/>
      <c r="D96" s="97" t="s">
        <v>97</v>
      </c>
      <c r="E96" s="86" t="s">
        <v>100</v>
      </c>
      <c r="F96" s="93">
        <v>5</v>
      </c>
      <c r="G96" s="94">
        <v>0</v>
      </c>
      <c r="H96" s="95">
        <f t="shared" si="16"/>
        <v>0</v>
      </c>
      <c r="I96" s="61">
        <v>0</v>
      </c>
      <c r="J96" s="95">
        <f t="shared" si="17"/>
        <v>0</v>
      </c>
      <c r="K96" s="96">
        <f t="shared" si="18"/>
        <v>0</v>
      </c>
    </row>
    <row r="97" spans="1:11" ht="14.25" collapsed="1">
      <c r="A97" s="73"/>
      <c r="B97" s="73"/>
      <c r="C97" s="74"/>
      <c r="D97" s="75" t="s">
        <v>45</v>
      </c>
      <c r="E97" s="76"/>
      <c r="F97" s="76"/>
      <c r="G97" s="77"/>
      <c r="H97" s="78"/>
      <c r="I97" s="79"/>
      <c r="J97" s="78"/>
      <c r="K97" s="80"/>
    </row>
    <row r="98" spans="1:11" ht="14.25">
      <c r="A98" s="55">
        <f>A96+1</f>
        <v>73</v>
      </c>
      <c r="B98" s="91"/>
      <c r="C98" s="92"/>
      <c r="D98" s="101" t="s">
        <v>101</v>
      </c>
      <c r="E98" s="86" t="s">
        <v>37</v>
      </c>
      <c r="F98" s="93">
        <v>5</v>
      </c>
      <c r="G98" s="94">
        <v>0</v>
      </c>
      <c r="H98" s="95">
        <f>G98*F98</f>
        <v>0</v>
      </c>
      <c r="I98" s="61">
        <v>0</v>
      </c>
      <c r="J98" s="95">
        <f>I98*F98</f>
        <v>0</v>
      </c>
      <c r="K98" s="96">
        <f>J98+H98</f>
        <v>0</v>
      </c>
    </row>
    <row r="99" spans="1:11" ht="14.25">
      <c r="A99" s="90">
        <f>A98+1</f>
        <v>74</v>
      </c>
      <c r="B99" s="91"/>
      <c r="C99" s="92"/>
      <c r="D99" s="98" t="s">
        <v>102</v>
      </c>
      <c r="E99" s="86" t="s">
        <v>37</v>
      </c>
      <c r="F99" s="93">
        <v>2</v>
      </c>
      <c r="G99" s="94">
        <v>0</v>
      </c>
      <c r="H99" s="95">
        <f>G99*F99</f>
        <v>0</v>
      </c>
      <c r="I99" s="61">
        <v>0</v>
      </c>
      <c r="J99" s="95">
        <f>I99*F99</f>
        <v>0</v>
      </c>
      <c r="K99" s="96">
        <f>J99+H99</f>
        <v>0</v>
      </c>
    </row>
    <row r="100" spans="1:11" ht="14.25" collapsed="1">
      <c r="A100" s="73"/>
      <c r="B100" s="73"/>
      <c r="C100" s="74"/>
      <c r="D100" s="75" t="s">
        <v>113</v>
      </c>
      <c r="E100" s="76"/>
      <c r="F100" s="76"/>
      <c r="G100" s="77"/>
      <c r="H100" s="78"/>
      <c r="I100" s="79"/>
      <c r="J100" s="78"/>
      <c r="K100" s="80"/>
    </row>
    <row r="101" spans="1:11" ht="14.25">
      <c r="A101" s="55">
        <f>A99+1</f>
        <v>75</v>
      </c>
      <c r="B101" s="91"/>
      <c r="C101" s="92"/>
      <c r="D101" s="85" t="s">
        <v>82</v>
      </c>
      <c r="E101" s="86" t="s">
        <v>19</v>
      </c>
      <c r="F101" s="93">
        <v>100</v>
      </c>
      <c r="G101" s="94">
        <v>0</v>
      </c>
      <c r="H101" s="95">
        <f>G101*F101</f>
        <v>0</v>
      </c>
      <c r="I101" s="61">
        <v>0</v>
      </c>
      <c r="J101" s="95">
        <f>I101*F101</f>
        <v>0</v>
      </c>
      <c r="K101" s="96">
        <f>J101+H101</f>
        <v>0</v>
      </c>
    </row>
    <row r="102" spans="1:11" ht="14.25">
      <c r="A102" s="73"/>
      <c r="B102" s="73"/>
      <c r="C102" s="74"/>
      <c r="D102" s="75" t="s">
        <v>158</v>
      </c>
      <c r="E102" s="76"/>
      <c r="F102" s="76"/>
      <c r="G102" s="77"/>
      <c r="H102" s="78"/>
      <c r="I102" s="79"/>
      <c r="J102" s="78"/>
      <c r="K102" s="80"/>
    </row>
    <row r="103" spans="1:11" ht="14.25">
      <c r="A103" s="55">
        <f>A101+1</f>
        <v>76</v>
      </c>
      <c r="B103" s="91"/>
      <c r="C103" s="92"/>
      <c r="D103" s="85" t="s">
        <v>159</v>
      </c>
      <c r="E103" s="86" t="s">
        <v>19</v>
      </c>
      <c r="F103" s="93">
        <v>15</v>
      </c>
      <c r="G103" s="94">
        <v>0</v>
      </c>
      <c r="H103" s="95">
        <f>G103*F103</f>
        <v>0</v>
      </c>
      <c r="I103" s="61">
        <v>0</v>
      </c>
      <c r="J103" s="95">
        <f>I103*F103</f>
        <v>0</v>
      </c>
      <c r="K103" s="96">
        <f>J103+H103</f>
        <v>0</v>
      </c>
    </row>
    <row r="104" spans="1:11" ht="14.25" collapsed="1">
      <c r="A104" s="73"/>
      <c r="B104" s="73"/>
      <c r="C104" s="74"/>
      <c r="D104" s="75" t="s">
        <v>56</v>
      </c>
      <c r="E104" s="76"/>
      <c r="F104" s="76"/>
      <c r="G104" s="77"/>
      <c r="H104" s="78"/>
      <c r="I104" s="79"/>
      <c r="J104" s="78"/>
      <c r="K104" s="80"/>
    </row>
    <row r="105" spans="1:11" ht="14.25">
      <c r="A105" s="55">
        <f>A101+1</f>
        <v>76</v>
      </c>
      <c r="B105" s="91"/>
      <c r="C105" s="92"/>
      <c r="D105" s="99" t="s">
        <v>85</v>
      </c>
      <c r="E105" s="86" t="s">
        <v>37</v>
      </c>
      <c r="F105" s="93">
        <v>3</v>
      </c>
      <c r="G105" s="94">
        <v>0</v>
      </c>
      <c r="H105" s="95">
        <f>G105*F105</f>
        <v>0</v>
      </c>
      <c r="I105" s="61">
        <v>0</v>
      </c>
      <c r="J105" s="95">
        <f>I105*F105</f>
        <v>0</v>
      </c>
      <c r="K105" s="96">
        <f>J105+H105</f>
        <v>0</v>
      </c>
    </row>
    <row r="106" spans="1:11" ht="14.25">
      <c r="A106" s="90">
        <f>A105+1</f>
        <v>77</v>
      </c>
      <c r="B106" s="91"/>
      <c r="C106" s="92"/>
      <c r="D106" s="100" t="s">
        <v>86</v>
      </c>
      <c r="E106" s="86" t="s">
        <v>37</v>
      </c>
      <c r="F106" s="93">
        <v>180</v>
      </c>
      <c r="G106" s="94">
        <v>0</v>
      </c>
      <c r="H106" s="95">
        <f>G106*F106</f>
        <v>0</v>
      </c>
      <c r="I106" s="61">
        <v>0</v>
      </c>
      <c r="J106" s="95">
        <f>I106*F106</f>
        <v>0</v>
      </c>
      <c r="K106" s="96">
        <f>J106+H106</f>
        <v>0</v>
      </c>
    </row>
    <row r="107" spans="1:11" ht="14.25">
      <c r="A107" s="90">
        <f>A106+1</f>
        <v>78</v>
      </c>
      <c r="B107" s="91"/>
      <c r="C107" s="92"/>
      <c r="D107" s="100" t="s">
        <v>87</v>
      </c>
      <c r="E107" s="86" t="s">
        <v>37</v>
      </c>
      <c r="F107" s="93">
        <v>4</v>
      </c>
      <c r="G107" s="94">
        <v>0</v>
      </c>
      <c r="H107" s="95">
        <f>G107*F107</f>
        <v>0</v>
      </c>
      <c r="I107" s="61">
        <v>0</v>
      </c>
      <c r="J107" s="95">
        <f>I107*F107</f>
        <v>0</v>
      </c>
      <c r="K107" s="96">
        <f>J107+H107</f>
        <v>0</v>
      </c>
    </row>
    <row r="108" spans="1:11" ht="14.25">
      <c r="A108" s="90">
        <f>A107+1</f>
        <v>79</v>
      </c>
      <c r="B108" s="91"/>
      <c r="C108" s="92"/>
      <c r="D108" s="100" t="s">
        <v>88</v>
      </c>
      <c r="E108" s="86" t="s">
        <v>37</v>
      </c>
      <c r="F108" s="93">
        <v>20</v>
      </c>
      <c r="G108" s="94">
        <v>0</v>
      </c>
      <c r="H108" s="95">
        <f>G108*F108</f>
        <v>0</v>
      </c>
      <c r="I108" s="61">
        <v>0</v>
      </c>
      <c r="J108" s="95">
        <f>I108*F108</f>
        <v>0</v>
      </c>
      <c r="K108" s="96">
        <f>J108+H108</f>
        <v>0</v>
      </c>
    </row>
    <row r="109" spans="1:11" ht="14.25" collapsed="1">
      <c r="A109" s="73"/>
      <c r="B109" s="73"/>
      <c r="C109" s="74"/>
      <c r="D109" s="75" t="s">
        <v>47</v>
      </c>
      <c r="E109" s="76"/>
      <c r="F109" s="76"/>
      <c r="G109" s="77"/>
      <c r="H109" s="78"/>
      <c r="I109" s="79"/>
      <c r="J109" s="78"/>
      <c r="K109" s="80"/>
    </row>
    <row r="110" spans="1:11" ht="14.25">
      <c r="A110" s="55">
        <f>A108+1</f>
        <v>80</v>
      </c>
      <c r="B110" s="91"/>
      <c r="C110" s="92"/>
      <c r="D110" s="98" t="s">
        <v>84</v>
      </c>
      <c r="E110" s="86" t="s">
        <v>37</v>
      </c>
      <c r="F110" s="93">
        <v>30</v>
      </c>
      <c r="G110" s="94">
        <v>0</v>
      </c>
      <c r="H110" s="95">
        <f>G110*F110</f>
        <v>0</v>
      </c>
      <c r="I110" s="61">
        <v>0</v>
      </c>
      <c r="J110" s="95">
        <f>I110*F110</f>
        <v>0</v>
      </c>
      <c r="K110" s="96">
        <f>J110+H110</f>
        <v>0</v>
      </c>
    </row>
    <row r="111" spans="1:11" ht="14.25" collapsed="1">
      <c r="A111" s="73"/>
      <c r="B111" s="73"/>
      <c r="C111" s="74"/>
      <c r="D111" s="75" t="s">
        <v>24</v>
      </c>
      <c r="E111" s="76"/>
      <c r="F111" s="76"/>
      <c r="G111" s="77"/>
      <c r="H111" s="78"/>
      <c r="I111" s="79"/>
      <c r="J111" s="78"/>
      <c r="K111" s="80"/>
    </row>
    <row r="112" spans="1:11" s="104" customFormat="1" ht="14.25">
      <c r="A112" s="90">
        <f>A110+1</f>
        <v>81</v>
      </c>
      <c r="B112" s="91"/>
      <c r="C112" s="92"/>
      <c r="D112" s="85" t="s">
        <v>136</v>
      </c>
      <c r="E112" s="86" t="s">
        <v>108</v>
      </c>
      <c r="F112" s="93">
        <v>1</v>
      </c>
      <c r="G112" s="94">
        <v>0</v>
      </c>
      <c r="H112" s="95">
        <f aca="true" t="shared" si="20" ref="H112:H123">G112*F112</f>
        <v>0</v>
      </c>
      <c r="I112" s="94">
        <v>0</v>
      </c>
      <c r="J112" s="95">
        <f aca="true" t="shared" si="21" ref="J112:J123">I112*F112</f>
        <v>0</v>
      </c>
      <c r="K112" s="96">
        <f aca="true" t="shared" si="22" ref="K112:K123">J112+H112</f>
        <v>0</v>
      </c>
    </row>
    <row r="113" spans="1:11" s="104" customFormat="1" ht="14.25">
      <c r="A113" s="90">
        <f>A112+1</f>
        <v>82</v>
      </c>
      <c r="B113" s="91"/>
      <c r="C113" s="92"/>
      <c r="D113" s="85" t="s">
        <v>137</v>
      </c>
      <c r="E113" s="86" t="s">
        <v>108</v>
      </c>
      <c r="F113" s="93">
        <v>1</v>
      </c>
      <c r="G113" s="94">
        <v>0</v>
      </c>
      <c r="H113" s="95">
        <f t="shared" si="20"/>
        <v>0</v>
      </c>
      <c r="I113" s="94">
        <v>0</v>
      </c>
      <c r="J113" s="95">
        <f t="shared" si="21"/>
        <v>0</v>
      </c>
      <c r="K113" s="96">
        <f t="shared" si="22"/>
        <v>0</v>
      </c>
    </row>
    <row r="114" spans="1:11" s="104" customFormat="1" ht="22.5">
      <c r="A114" s="90">
        <f aca="true" t="shared" si="23" ref="A114:A121">A113+1</f>
        <v>83</v>
      </c>
      <c r="B114" s="91"/>
      <c r="C114" s="92"/>
      <c r="D114" s="85" t="s">
        <v>360</v>
      </c>
      <c r="E114" s="86" t="s">
        <v>108</v>
      </c>
      <c r="F114" s="93">
        <v>1</v>
      </c>
      <c r="G114" s="94">
        <v>0</v>
      </c>
      <c r="H114" s="95">
        <f t="shared" si="20"/>
        <v>0</v>
      </c>
      <c r="I114" s="94">
        <v>0</v>
      </c>
      <c r="J114" s="95">
        <f t="shared" si="21"/>
        <v>0</v>
      </c>
      <c r="K114" s="96">
        <f t="shared" si="22"/>
        <v>0</v>
      </c>
    </row>
    <row r="115" spans="1:11" s="104" customFormat="1" ht="22.5">
      <c r="A115" s="90">
        <f t="shared" si="23"/>
        <v>84</v>
      </c>
      <c r="B115" s="91"/>
      <c r="C115" s="92"/>
      <c r="D115" s="85" t="s">
        <v>365</v>
      </c>
      <c r="E115" s="86" t="s">
        <v>108</v>
      </c>
      <c r="F115" s="93">
        <v>1</v>
      </c>
      <c r="G115" s="94">
        <v>0</v>
      </c>
      <c r="H115" s="95">
        <f t="shared" si="20"/>
        <v>0</v>
      </c>
      <c r="I115" s="94">
        <v>0</v>
      </c>
      <c r="J115" s="95">
        <f t="shared" si="21"/>
        <v>0</v>
      </c>
      <c r="K115" s="96">
        <f t="shared" si="22"/>
        <v>0</v>
      </c>
    </row>
    <row r="116" spans="1:11" s="104" customFormat="1" ht="14.25">
      <c r="A116" s="90">
        <f t="shared" si="23"/>
        <v>85</v>
      </c>
      <c r="B116" s="91"/>
      <c r="C116" s="92"/>
      <c r="D116" s="85" t="s">
        <v>358</v>
      </c>
      <c r="E116" s="86" t="s">
        <v>108</v>
      </c>
      <c r="F116" s="93">
        <v>1</v>
      </c>
      <c r="G116" s="94">
        <v>0</v>
      </c>
      <c r="H116" s="95">
        <f t="shared" si="20"/>
        <v>0</v>
      </c>
      <c r="I116" s="94">
        <v>0</v>
      </c>
      <c r="J116" s="95">
        <f t="shared" si="21"/>
        <v>0</v>
      </c>
      <c r="K116" s="96">
        <f t="shared" si="22"/>
        <v>0</v>
      </c>
    </row>
    <row r="117" spans="1:11" s="104" customFormat="1" ht="14.25">
      <c r="A117" s="90">
        <f t="shared" si="23"/>
        <v>86</v>
      </c>
      <c r="B117" s="91"/>
      <c r="C117" s="92"/>
      <c r="D117" s="85" t="s">
        <v>366</v>
      </c>
      <c r="E117" s="86" t="s">
        <v>108</v>
      </c>
      <c r="F117" s="93">
        <v>1</v>
      </c>
      <c r="G117" s="94">
        <v>0</v>
      </c>
      <c r="H117" s="95">
        <f t="shared" si="20"/>
        <v>0</v>
      </c>
      <c r="I117" s="94">
        <v>0</v>
      </c>
      <c r="J117" s="95">
        <f t="shared" si="21"/>
        <v>0</v>
      </c>
      <c r="K117" s="96">
        <f t="shared" si="22"/>
        <v>0</v>
      </c>
    </row>
    <row r="118" spans="1:11" s="104" customFormat="1" ht="33.75">
      <c r="A118" s="90">
        <f t="shared" si="23"/>
        <v>87</v>
      </c>
      <c r="B118" s="91"/>
      <c r="C118" s="92"/>
      <c r="D118" s="85" t="s">
        <v>359</v>
      </c>
      <c r="E118" s="86" t="s">
        <v>108</v>
      </c>
      <c r="F118" s="93">
        <v>1</v>
      </c>
      <c r="G118" s="94">
        <v>0</v>
      </c>
      <c r="H118" s="95">
        <f t="shared" si="20"/>
        <v>0</v>
      </c>
      <c r="I118" s="94">
        <v>0</v>
      </c>
      <c r="J118" s="95">
        <f t="shared" si="21"/>
        <v>0</v>
      </c>
      <c r="K118" s="96">
        <f t="shared" si="22"/>
        <v>0</v>
      </c>
    </row>
    <row r="119" spans="1:11" s="104" customFormat="1" ht="14.25">
      <c r="A119" s="90">
        <f t="shared" si="23"/>
        <v>88</v>
      </c>
      <c r="B119" s="91"/>
      <c r="C119" s="92"/>
      <c r="D119" s="85" t="s">
        <v>363</v>
      </c>
      <c r="E119" s="86" t="s">
        <v>108</v>
      </c>
      <c r="F119" s="93">
        <v>1</v>
      </c>
      <c r="G119" s="94">
        <v>0</v>
      </c>
      <c r="H119" s="95">
        <f t="shared" si="20"/>
        <v>0</v>
      </c>
      <c r="I119" s="94">
        <v>0</v>
      </c>
      <c r="J119" s="95">
        <f t="shared" si="21"/>
        <v>0</v>
      </c>
      <c r="K119" s="96">
        <f t="shared" si="22"/>
        <v>0</v>
      </c>
    </row>
    <row r="120" spans="1:11" s="104" customFormat="1" ht="14.25">
      <c r="A120" s="90">
        <f t="shared" si="23"/>
        <v>89</v>
      </c>
      <c r="B120" s="91"/>
      <c r="C120" s="92"/>
      <c r="D120" s="85" t="s">
        <v>364</v>
      </c>
      <c r="E120" s="86" t="s">
        <v>108</v>
      </c>
      <c r="F120" s="93">
        <v>1</v>
      </c>
      <c r="G120" s="94">
        <v>0</v>
      </c>
      <c r="H120" s="95">
        <f t="shared" si="20"/>
        <v>0</v>
      </c>
      <c r="I120" s="94">
        <v>0</v>
      </c>
      <c r="J120" s="95">
        <f t="shared" si="21"/>
        <v>0</v>
      </c>
      <c r="K120" s="96">
        <f t="shared" si="22"/>
        <v>0</v>
      </c>
    </row>
    <row r="121" spans="1:11" s="104" customFormat="1" ht="14.25">
      <c r="A121" s="90">
        <f t="shared" si="23"/>
        <v>90</v>
      </c>
      <c r="B121" s="91"/>
      <c r="C121" s="92"/>
      <c r="D121" s="85" t="s">
        <v>156</v>
      </c>
      <c r="E121" s="86" t="s">
        <v>108</v>
      </c>
      <c r="F121" s="93">
        <v>1</v>
      </c>
      <c r="G121" s="94">
        <v>0</v>
      </c>
      <c r="H121" s="95">
        <f t="shared" si="20"/>
        <v>0</v>
      </c>
      <c r="I121" s="94">
        <v>0</v>
      </c>
      <c r="J121" s="95">
        <f t="shared" si="21"/>
        <v>0</v>
      </c>
      <c r="K121" s="96">
        <f t="shared" si="22"/>
        <v>0</v>
      </c>
    </row>
    <row r="122" spans="1:11" s="104" customFormat="1" ht="14.25">
      <c r="A122" s="90">
        <f>A121+1</f>
        <v>91</v>
      </c>
      <c r="B122" s="91"/>
      <c r="C122" s="92"/>
      <c r="D122" s="85" t="s">
        <v>361</v>
      </c>
      <c r="E122" s="86" t="s">
        <v>108</v>
      </c>
      <c r="F122" s="93">
        <v>1</v>
      </c>
      <c r="G122" s="94">
        <v>0</v>
      </c>
      <c r="H122" s="95">
        <f t="shared" si="20"/>
        <v>0</v>
      </c>
      <c r="I122" s="94">
        <v>0</v>
      </c>
      <c r="J122" s="95">
        <f t="shared" si="21"/>
        <v>0</v>
      </c>
      <c r="K122" s="96">
        <f t="shared" si="22"/>
        <v>0</v>
      </c>
    </row>
    <row r="123" spans="1:11" s="104" customFormat="1" ht="14.25">
      <c r="A123" s="90">
        <f>A122+1</f>
        <v>92</v>
      </c>
      <c r="B123" s="91"/>
      <c r="C123" s="92"/>
      <c r="D123" s="85" t="s">
        <v>362</v>
      </c>
      <c r="E123" s="86" t="s">
        <v>108</v>
      </c>
      <c r="F123" s="93">
        <v>1</v>
      </c>
      <c r="G123" s="94">
        <v>0</v>
      </c>
      <c r="H123" s="95">
        <f t="shared" si="20"/>
        <v>0</v>
      </c>
      <c r="I123" s="94">
        <v>0</v>
      </c>
      <c r="J123" s="95">
        <f t="shared" si="21"/>
        <v>0</v>
      </c>
      <c r="K123" s="96">
        <f t="shared" si="22"/>
        <v>0</v>
      </c>
    </row>
    <row r="124" spans="1:11" ht="14.25" collapsed="1">
      <c r="A124" s="73"/>
      <c r="B124" s="73"/>
      <c r="C124" s="74"/>
      <c r="D124" s="75" t="s">
        <v>28</v>
      </c>
      <c r="E124" s="76"/>
      <c r="F124" s="76"/>
      <c r="G124" s="77"/>
      <c r="H124" s="78"/>
      <c r="I124" s="79"/>
      <c r="J124" s="78"/>
      <c r="K124" s="80"/>
    </row>
    <row r="125" spans="1:11" ht="14.25">
      <c r="A125" s="90">
        <f>A123+1</f>
        <v>93</v>
      </c>
      <c r="B125" s="91"/>
      <c r="C125" s="92"/>
      <c r="D125" s="102" t="s">
        <v>103</v>
      </c>
      <c r="E125" s="86" t="s">
        <v>108</v>
      </c>
      <c r="F125" s="93">
        <v>1</v>
      </c>
      <c r="G125" s="94">
        <v>0</v>
      </c>
      <c r="H125" s="95">
        <f>G125*F125</f>
        <v>0</v>
      </c>
      <c r="I125" s="61">
        <v>0</v>
      </c>
      <c r="J125" s="95">
        <f>I125*F125</f>
        <v>0</v>
      </c>
      <c r="K125" s="96">
        <f>J125+H125</f>
        <v>0</v>
      </c>
    </row>
    <row r="126" spans="1:11" ht="14.25">
      <c r="A126" s="90">
        <f>A125+1</f>
        <v>94</v>
      </c>
      <c r="B126" s="91"/>
      <c r="C126" s="92"/>
      <c r="D126" s="102" t="s">
        <v>104</v>
      </c>
      <c r="E126" s="86" t="s">
        <v>108</v>
      </c>
      <c r="F126" s="93">
        <v>1</v>
      </c>
      <c r="G126" s="94">
        <v>0</v>
      </c>
      <c r="H126" s="95">
        <f>G126*F126</f>
        <v>0</v>
      </c>
      <c r="I126" s="61">
        <v>0</v>
      </c>
      <c r="J126" s="95">
        <f>I126*F126</f>
        <v>0</v>
      </c>
      <c r="K126" s="96">
        <f>J126+H126</f>
        <v>0</v>
      </c>
    </row>
    <row r="127" spans="1:11" ht="14.25">
      <c r="A127" s="90">
        <f>A126+1</f>
        <v>95</v>
      </c>
      <c r="B127" s="91"/>
      <c r="C127" s="92"/>
      <c r="D127" s="100" t="s">
        <v>105</v>
      </c>
      <c r="E127" s="86" t="s">
        <v>109</v>
      </c>
      <c r="F127" s="93">
        <v>16</v>
      </c>
      <c r="G127" s="94">
        <v>0</v>
      </c>
      <c r="H127" s="95">
        <f>G127*F127</f>
        <v>0</v>
      </c>
      <c r="I127" s="61">
        <v>0</v>
      </c>
      <c r="J127" s="95">
        <f>I127*F127</f>
        <v>0</v>
      </c>
      <c r="K127" s="96">
        <f>J127+H127</f>
        <v>0</v>
      </c>
    </row>
    <row r="128" spans="1:11" ht="14.25">
      <c r="A128" s="90" t="e">
        <f>#REF!+1</f>
        <v>#REF!</v>
      </c>
      <c r="B128" s="91"/>
      <c r="C128" s="92"/>
      <c r="D128" s="100" t="s">
        <v>106</v>
      </c>
      <c r="E128" s="86" t="s">
        <v>108</v>
      </c>
      <c r="F128" s="93">
        <v>1</v>
      </c>
      <c r="G128" s="94">
        <v>0</v>
      </c>
      <c r="H128" s="95">
        <f>G128*F128</f>
        <v>0</v>
      </c>
      <c r="I128" s="61">
        <v>0</v>
      </c>
      <c r="J128" s="95">
        <f>I128*F128</f>
        <v>0</v>
      </c>
      <c r="K128" s="96">
        <f>J128+H128</f>
        <v>0</v>
      </c>
    </row>
    <row r="129" spans="1:11" ht="14.25">
      <c r="A129" s="90" t="e">
        <f>A128+1</f>
        <v>#REF!</v>
      </c>
      <c r="B129" s="91"/>
      <c r="C129" s="92"/>
      <c r="D129" s="100" t="s">
        <v>107</v>
      </c>
      <c r="E129" s="86" t="s">
        <v>108</v>
      </c>
      <c r="F129" s="93">
        <v>1</v>
      </c>
      <c r="G129" s="94">
        <v>0</v>
      </c>
      <c r="H129" s="95">
        <f>G129*F129</f>
        <v>0</v>
      </c>
      <c r="I129" s="61">
        <v>0</v>
      </c>
      <c r="J129" s="95">
        <f>I129*F129</f>
        <v>0</v>
      </c>
      <c r="K129" s="96">
        <f>J129+H129</f>
        <v>0</v>
      </c>
    </row>
    <row r="130" spans="1:11" ht="14.25" collapsed="1">
      <c r="A130" s="83"/>
      <c r="B130" s="83"/>
      <c r="C130" s="83"/>
      <c r="D130" s="83"/>
      <c r="E130" s="83"/>
      <c r="F130" s="83"/>
      <c r="G130" s="83"/>
      <c r="H130" s="83"/>
      <c r="I130" s="83"/>
      <c r="J130" s="83"/>
      <c r="K130" s="83"/>
    </row>
    <row r="131" spans="1:11" s="89" customFormat="1" ht="15.75">
      <c r="A131" s="49" t="s">
        <v>20</v>
      </c>
      <c r="B131" s="49"/>
      <c r="C131" s="87"/>
      <c r="D131" s="87"/>
      <c r="E131" s="87"/>
      <c r="F131" s="87"/>
      <c r="G131" s="87"/>
      <c r="H131" s="87"/>
      <c r="I131" s="87"/>
      <c r="J131" s="87"/>
      <c r="K131" s="88">
        <f>SUM(K5:K129)</f>
        <v>0</v>
      </c>
    </row>
    <row r="133" spans="1:11" ht="40.5" customHeight="1">
      <c r="A133" s="194" t="s">
        <v>48</v>
      </c>
      <c r="B133" s="194"/>
      <c r="C133" s="194"/>
      <c r="D133" s="194"/>
      <c r="E133" s="194"/>
      <c r="F133" s="194"/>
      <c r="G133" s="194"/>
      <c r="H133" s="194"/>
      <c r="I133" s="194"/>
      <c r="J133" s="194"/>
      <c r="K133" s="194"/>
    </row>
  </sheetData>
  <sheetProtection selectLockedCells="1" selectUnlockedCells="1"/>
  <autoFilter ref="B3:B133"/>
  <mergeCells count="5">
    <mergeCell ref="A133:K133"/>
    <mergeCell ref="A1:K1"/>
    <mergeCell ref="A2:F2"/>
    <mergeCell ref="G2:H2"/>
    <mergeCell ref="I2:J2"/>
  </mergeCells>
  <printOptions/>
  <pageMargins left="0.7875" right="0.7875" top="0.7875" bottom="1.1784722222222221" header="0.5118055555555555" footer="0.5118055555555555"/>
  <pageSetup fitToHeight="4" fitToWidth="1" horizontalDpi="300" verticalDpi="300" orientation="portrait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 JV</dc:creator>
  <cp:keywords/>
  <dc:description/>
  <cp:lastModifiedBy>Polanka Václav</cp:lastModifiedBy>
  <cp:lastPrinted>2013-09-06T05:55:27Z</cp:lastPrinted>
  <dcterms:created xsi:type="dcterms:W3CDTF">2013-09-19T15:16:17Z</dcterms:created>
  <dcterms:modified xsi:type="dcterms:W3CDTF">2015-10-08T12:33:17Z</dcterms:modified>
  <cp:category/>
  <cp:version/>
  <cp:contentType/>
  <cp:contentStatus/>
</cp:coreProperties>
</file>