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codeName="ThisWorkbook" defaultThemeVersion="124226"/>
  <workbookProtection workbookAlgorithmName="SHA-512" workbookHashValue="QoLu3hr9fQiDqs2QeFbskEKDqeHwe54W5jj4rIio9nfPtTbD+wfEaTa2g09GfMDMQ0ev8wnWoxncB7kifYGsLQ==" workbookSpinCount="100000" workbookSaltValue="ImXA/gU7mnBShmdfA6nx0g==" lockStructure="1"/>
  <bookViews>
    <workbookView xWindow="65416" yWindow="65416" windowWidth="38640" windowHeight="21120" tabRatio="818" activeTab="0"/>
  </bookViews>
  <sheets>
    <sheet name="Rekapitulace" sheetId="1" r:id="rId1"/>
    <sheet name="SO01" sheetId="2" r:id="rId2"/>
    <sheet name="SO02" sheetId="21" r:id="rId3"/>
    <sheet name="SO03" sheetId="17" r:id="rId4"/>
    <sheet name="SO04" sheetId="22" r:id="rId5"/>
    <sheet name="IO01" sheetId="23" r:id="rId6"/>
    <sheet name="IO02" sheetId="24" r:id="rId7"/>
    <sheet name="IO03" sheetId="25" r:id="rId8"/>
    <sheet name="VN + ON" sheetId="10" r:id="rId9"/>
  </sheets>
  <definedNames>
    <definedName name="_">#REF!</definedName>
    <definedName name="_SO02">'Rekapitulace'!#REF!</definedName>
    <definedName name="_SO03">'Rekapitulace'!#REF!</definedName>
    <definedName name="_xlnm.Print_Area" localSheetId="5">'IO01'!$B$3:$R$70,'IO01'!$B$74:$R$92,'IO01'!$B$96:$R$121</definedName>
    <definedName name="_xlnm.Print_Area" localSheetId="6">'IO02'!$B$3:$R$70,'IO02'!$B$74:$R$92,'IO02'!$B$96:$R$123</definedName>
    <definedName name="_xlnm.Print_Area" localSheetId="7">'IO03'!$B$3:$R$70,'IO03'!$B$74:$R$92,'IO03'!$B$96:$R$125</definedName>
    <definedName name="_xlnm.Print_Area" localSheetId="0">'Rekapitulace'!$B$3:$AQ$70,'Rekapitulace'!$B$74:$AQ$96</definedName>
    <definedName name="_xlnm.Print_Area" localSheetId="1">'SO01'!$B$3:$R$70,'SO01'!$B$74:$R$95,'SO01'!$B$99:$R$152</definedName>
    <definedName name="_xlnm.Print_Area" localSheetId="2">'SO02'!$B$3:$R$70,'SO02'!$B$74:$R$92,'SO02'!$B$96:$R$115</definedName>
    <definedName name="_xlnm.Print_Area" localSheetId="3">'SO03'!$B$3:$R$70,'SO03'!$B$74:$R$93,'SO03'!$B$97:$R$119</definedName>
    <definedName name="_xlnm.Print_Area" localSheetId="4">'SO04'!$B$3:$R$70,'SO04'!$B$74:$R$93,'SO04'!$B$97:$R$117</definedName>
    <definedName name="_xlnm.Print_Area" localSheetId="8">'VN + ON'!$B$3:$R$71,'VN + ON'!$B$75:$R$93,'VN + ON'!$B$97:$R$140</definedName>
    <definedName name="_xlnm.Print_Titles" localSheetId="0">'Rekapitulace'!$84:$84</definedName>
    <definedName name="_xlnm.Print_Titles" localSheetId="1">'SO01'!$111:$111</definedName>
    <definedName name="_xlnm.Print_Titles" localSheetId="2">'SO02'!$108:$108</definedName>
    <definedName name="_xlnm.Print_Titles" localSheetId="3">'SO03'!$109:$109</definedName>
    <definedName name="_xlnm.Print_Titles" localSheetId="4">'SO04'!$109:$109</definedName>
    <definedName name="_xlnm.Print_Titles" localSheetId="5">'IO01'!$108:$108</definedName>
    <definedName name="_xlnm.Print_Titles" localSheetId="6">'IO02'!$108:$108</definedName>
    <definedName name="_xlnm.Print_Titles" localSheetId="7">'IO03'!$108:$108</definedName>
    <definedName name="_xlnm.Print_Titles" localSheetId="8">'VN + ON'!$108:$108</definedName>
  </definedNames>
  <calcPr calcId="191029"/>
  <extLst/>
</workbook>
</file>

<file path=xl/sharedStrings.xml><?xml version="1.0" encoding="utf-8"?>
<sst xmlns="http://schemas.openxmlformats.org/spreadsheetml/2006/main" count="1246" uniqueCount="248">
  <si>
    <t>List obsahuje:</t>
  </si>
  <si>
    <t>2.0</t>
  </si>
  <si>
    <t>False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</si>
  <si>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</si>
  <si>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</si>
  <si>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</si>
  <si>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</si>
  <si>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</si>
  <si>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</si>
  <si>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</si>
  <si>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</si>
  <si>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</si>
  <si>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Stavba: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</si>
  <si>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</si>
  <si>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</si>
  <si>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</si>
  <si>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</si>
  <si>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</si>
  <si>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</si>
  <si>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</si>
  <si>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</si>
  <si>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Vyplň údaj</t>
  </si>
  <si>
    <t>Projektant:</t>
  </si>
  <si>
    <t>Zpracovatel: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</si>
  <si>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</si>
  <si>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</si>
  <si>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</si>
  <si>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</si>
  <si>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</si>
  <si>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</si>
  <si>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</si>
  <si>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</si>
  <si>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</si>
  <si>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</si>
  <si>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</si>
  <si>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</si>
  <si>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</si>
  <si>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</si>
  <si>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</si>
  <si>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</si>
  <si>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</si>
  <si>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</si>
  <si>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</si>
  <si>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</si>
  <si>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</si>
  <si>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</si>
  <si>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</si>
  <si>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</si>
  <si>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</si>
  <si>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</si>
  <si>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</si>
  <si>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</si>
  <si>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</si>
  <si>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</si>
  <si>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</si>
  <si>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</si>
  <si>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</si>
  <si>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</si>
  <si>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</si>
  <si>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</si>
  <si>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</si>
  <si>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</si>
  <si>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</si>
  <si>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</si>
  <si>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</si>
  <si>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{7D104CFD-74AE-4B21-8F06-FCE96FACD716}</t>
  </si>
  <si>
    <t>{00000000-0000-0000-0000-000000000000}</t>
  </si>
  <si>
    <t>1</t>
  </si>
  <si>
    <t>{9EE7D76B-F59E-4B7D-8679-C39E1EEACB65}</t>
  </si>
  <si>
    <t>2</t>
  </si>
  <si>
    <t>{453C5863-F3AD-4C96-96AB-6B476CE8FCDB}</t>
  </si>
  <si>
    <t>stavební čast</t>
  </si>
  <si>
    <t>OSTATNENAKLADYVLASTNE</t>
  </si>
  <si>
    <t>Zpět na list:</t>
  </si>
  <si>
    <t>KRYCÍ LIST ROZPOČTU</t>
  </si>
  <si>
    <t>Objekt:</t>
  </si>
  <si>
    <t>Část: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</si>
  <si>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</si>
  <si>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</si>
  <si>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</si>
  <si>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</si>
  <si>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</si>
  <si>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</si>
  <si>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</si>
  <si>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</si>
  <si>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</si>
  <si>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</si>
  <si>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</si>
  <si>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</si>
  <si>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</si>
  <si>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</si>
  <si>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</si>
  <si>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</si>
  <si>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</si>
  <si>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</si>
  <si>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</si>
  <si>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</si>
  <si>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</si>
  <si>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</si>
  <si>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</si>
  <si>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kpl</t>
  </si>
  <si>
    <t>4</t>
  </si>
  <si>
    <t>512</t>
  </si>
  <si>
    <t>ks</t>
  </si>
  <si>
    <t>1) Souhrnný list stavby</t>
  </si>
  <si>
    <t>2) Rekapitulace objektů</t>
  </si>
  <si>
    <t>1) Krycí list rozpočtu</t>
  </si>
  <si>
    <t>2) Rekapitulace rozpočtu</t>
  </si>
  <si>
    <t>3) Rozpočet</t>
  </si>
  <si>
    <t>Rekapitulace stavby</t>
  </si>
  <si>
    <t>Elektromateriál, rozvaděče</t>
  </si>
  <si>
    <t>02 - Rozvaděče</t>
  </si>
  <si>
    <t>01 - Solární kabely</t>
  </si>
  <si>
    <t>01 - Ukončení vodičů, soubory pro kabely</t>
  </si>
  <si>
    <t>03</t>
  </si>
  <si>
    <t>Celkové náklady za stavbu 1)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</si>
  <si>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 neuvedené v položkách
2) na vybraných listech vyplňte v sestavě
    a) Krycí list
       - údaje o Zhotoviteli, pokud se liší od údajů o Zhotoviteli na Souhrnném listu
         (údaje se přenesou do ostatních sestav v daném listu)
    b) Celkové náklady za stavbu
       - ceny u položek jsou uvedeny včetně prací
       - množství, pokud má žluté podbarvení
       - a v případe potřeby poznámku (ta je v skrytém sloupci)</t>
  </si>
  <si>
    <t>Ostatní materiál</t>
  </si>
  <si>
    <t>-</t>
  </si>
  <si>
    <t>Vedlejší náklady</t>
  </si>
  <si>
    <t>Připojení a spotřeba energie pro zařízení staveniště (náklady na připojení, energie pro zařízení staveniště)</t>
  </si>
  <si>
    <t>Zabezpečení staveniště (oplocení staveniště, opatření na ochranu sousedních pozemků, dopravní značení na staveništi, osvětlení staveniště, informační tabule stavby, alarm, strážní služba, ochranné konstrukce)</t>
  </si>
  <si>
    <t>Pronájem ploch, objektů</t>
  </si>
  <si>
    <t>Zrušení zařízení staveniště (rozebrání, bourání a odvoz zařízení staveniště, úprava terénu)</t>
  </si>
  <si>
    <t>Vlivy klimatických podmínek</t>
  </si>
  <si>
    <t>Mimostaveništní doprava materiálů a výrobků</t>
  </si>
  <si>
    <t>Ostatní náklady</t>
  </si>
  <si>
    <t xml:space="preserve">    01 - Vedlejší náklady</t>
  </si>
  <si>
    <t>Vedlejší náklady, Ostatní náklady</t>
  </si>
  <si>
    <t>Vybavení staveniště (náklady na stavební buňky, skládky na staveništi, náklady na provoz a údržbu vybavení staveniště)</t>
  </si>
  <si>
    <t>Kompletační a koordinační činnost</t>
  </si>
  <si>
    <t>Práce na těžce přístupných místech (práce ve výškách, práce bez pevné pracovní podlahy, práce ve stísněném prostoru)</t>
  </si>
  <si>
    <t>Průzkumné práce (stavebně-technický průzkum)</t>
  </si>
  <si>
    <t>Zařízení staveniště, terénní úpravy pro zařízení staveniště</t>
  </si>
  <si>
    <t>Doprava na staveništi (vodorovná, horizontální)</t>
  </si>
  <si>
    <t>YOUNG4ENERGY s.r.o.</t>
  </si>
  <si>
    <t>CZ04083351</t>
  </si>
  <si>
    <t>04083351</t>
  </si>
  <si>
    <t>Ostatní náklady související se zahájením provozu díla (například náklady na zaškolení obsluhy včetně poučení o bezpečnosti práce)</t>
  </si>
  <si>
    <t>Ostatní náklady související s dílem (například dodávka SW vybavení, licenčních práv, předání kódů a hesel pro řádnou funkci SW části díla)</t>
  </si>
  <si>
    <t>01</t>
  </si>
  <si>
    <t>Instalace fotovoltaické elektrárny</t>
  </si>
  <si>
    <t xml:space="preserve"> 01 - Ostatní náklady</t>
  </si>
  <si>
    <t>Hardwarové vybavení</t>
  </si>
  <si>
    <t>Dispečerské řízení výrobny</t>
  </si>
  <si>
    <t>01 - Dispečerské řízení výrobny dle PPDS</t>
  </si>
  <si>
    <t>Legalizace – spolupráce při zajištění licence na výrobu elektřiny se zajištěním těchto povinných dokumentů: Protokol o komplexní provedené zkoušce zahrnující individuální vyzkoušení. Zpráva o výchozí revizi elektrického zařízení. Fotku štítku s technickými údaji výrobny (pokud existuje). Doklady prokazující shodu vlastností použitých výrobku s požadavky na stavby. Prohlášení o souladu realizované stavby s ověřenou projektovou dokumentací.</t>
  </si>
  <si>
    <t>Zajištění veškerých zkoušek a měření, zejména protokol o provedení vyzkoušení díla (komplexní zkouška, dílčí zkoušky a garanční měření)</t>
  </si>
  <si>
    <t>Zajištění veškeré dokumentace k dílu v rozsahu podkladů pro závěrečnou kontrolní prohlídku díla, technických listů, prohlášení o shodě, protokolu o nastavení ochran, záručních listů, veškerých revizí, včetně zpracování autorizovaných zpráv, protokolů o provedených zkouškách, dokladů o likvidaci odpadů z montáže, prohlášení o souladu s ověřenou projektovou dokumentací pro stavební povolení, stavební deník, závěrečný předávací protokol, doklad o montáži, veškeré doklady o funkčních zkouškách všech zařízení (např. požárně bezpečnostního zařízení)</t>
  </si>
  <si>
    <t xml:space="preserve"> 01 - Hardwarové vybení ŘS včetně práce</t>
  </si>
  <si>
    <t>Úplná montáž kabelových žlabů včetně spojování, kolen, upevňovacích bodů či konzolí, T-kusů na předem připravené upevňovací body, uzavření víkem, uzemnění</t>
  </si>
  <si>
    <t>Zajištění odborných dozorů ze strany zhotovitele (zejména v rozsahu potřebných autorizací, certifikací, živnostenských a jiných oprávnění), zajištění koordinace BOZP a ochrany zdraví při práci na staveništi</t>
  </si>
  <si>
    <r>
      <t>Zajištění posudků a dalších dokumentů (plán BOZP na staveništi; technické požadavky na výrobky; ostatní posudky); operativní karta zdolávání požárů; aktualizované</t>
    </r>
    <r>
      <rPr>
        <sz val="8"/>
        <color rgb="FFFF0000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požárně bezpečnostní řešení stavby dle skutečnosti, protokol o určení vnějších vlivů, provozní a jiné řády, návody a příručky k obsluze, používání, údržbě a servisu příslušných částí díla, provozní řád zařízení, plnohodnotný český návod k obsluze, údržbě a servisu</t>
    </r>
  </si>
  <si>
    <t>RDS – Realizační dokumentace stavby v rozsahu, aby bylo možné dílo zrealizovat a zprovoznit</t>
  </si>
  <si>
    <t>DSPS – Dokumentace skutečného provedení stavby dle vyhlášky č. 405/2017 Sb.</t>
  </si>
  <si>
    <t>02</t>
  </si>
  <si>
    <t xml:space="preserve"> 01 - Fotovoltaické panely</t>
  </si>
  <si>
    <t>Osazení a zapojení fotovoltaického panelu, včetně propojení s výkonnostním optimizérem</t>
  </si>
  <si>
    <t>02 - Kabelové žlaby</t>
  </si>
  <si>
    <t xml:space="preserve"> 02 - Fotovoltaické střídače </t>
  </si>
  <si>
    <t xml:space="preserve"> 03 - Výkonnostní optimizéry </t>
  </si>
  <si>
    <t xml:space="preserve"> 04 - Konstrukce FV panelů </t>
  </si>
  <si>
    <t xml:space="preserve"> 05 - Hlavní ochranné přípojnice MET</t>
  </si>
  <si>
    <t>Zapojení fotovoltaického panelu</t>
  </si>
  <si>
    <t>04</t>
  </si>
  <si>
    <t>Osazení, montáž a zapojení výkonostního optimizéru, včetně uchycení na konstukci FV panelů a zapojení</t>
  </si>
  <si>
    <t>Kabelové žlaby plné/drátěné pro vytvoření kabelových tras v prostoru instalace FVE a v prostoru umístění technologie; velikost kabelových žlabu dle počtu vedených kabelů za předpokladů dodržení platné legislativy</t>
  </si>
  <si>
    <t>Drobný spojovací materiál (UV odolné vázací pásky, upevňovací příchytky, další pomocný upevňovací materiál), včetně montáže</t>
  </si>
  <si>
    <t>Ukončení kabelů silových, komunikačních a vodičů lisovacími kabelovými oky nebo lisovacími dutinkami, včetně materiálu a montáže</t>
  </si>
  <si>
    <t>ČEPRO, a.s.</t>
  </si>
  <si>
    <t>Oplocení včetně vrat a elektronické zabezpečovací služby a osvětlení</t>
  </si>
  <si>
    <t>05</t>
  </si>
  <si>
    <t>06</t>
  </si>
  <si>
    <t>07</t>
  </si>
  <si>
    <t>Řídicí systém pro řízení výroby s energetickým managmentem</t>
  </si>
  <si>
    <t>Vyvedení elektrického výkonu FVE – stejnosměrná část</t>
  </si>
  <si>
    <t>Vyvedení elektrického výkonu FVE – střídavá část</t>
  </si>
  <si>
    <t>Vedení elektrického výkonu z nové trafostanice do stávajících rozvodů</t>
  </si>
  <si>
    <t>08</t>
  </si>
  <si>
    <t xml:space="preserve"> 01 - Vytvoření nového bleskosvodu  </t>
  </si>
  <si>
    <t>Bleskosvod a uzemnění</t>
  </si>
  <si>
    <t xml:space="preserve">Střídač 100 000 VA, nominální výstupní výkon 100 000 W, evropská vážená účinnost 98 %, DC vstup pomocí MC4 nebo průchodkami, stupeň krytí IP65 </t>
  </si>
  <si>
    <t>Osazení, montáž a zapojení fotovoltaických střídačů, včetně jejich zprovoznění, připojení, nastavení a implementace do monitorovací platformy</t>
  </si>
  <si>
    <t>Výkonnostní optimizér pro výkon 1 100 Wp , maximální vstupní DC výkon 1 100 Wp, vstupní konektory MC 4, maximální zkratový proud na výstup (Isc) 14,1 A, maximální bezpečné výstupní napětí výkonového optimizéru v pohotovostním režimu 1 ± 0,1 Vdc</t>
  </si>
  <si>
    <t>Montáž konstrukce, montáž zemních vrutů, uložení konstrukce fotovoltaických panelů; včetně uzemnění konstrukce a FV panelů</t>
  </si>
  <si>
    <t>Vodiče NN a VN (např. CYA) určené pro pospojování a zemnění; dle požadavku projektu; včetně montáže, uložení a zapojení</t>
  </si>
  <si>
    <t>Vytvoření oplocení nově budované pozemnní FVE</t>
  </si>
  <si>
    <t>Vytvoření systému osvětlení nově budované pozemní FVE</t>
  </si>
  <si>
    <t xml:space="preserve"> 01 - Oplocení nové pozemní FVE</t>
  </si>
  <si>
    <t>01 - Ovětlení nové pozemní FVE</t>
  </si>
  <si>
    <t>Vybudovaní propoje</t>
  </si>
  <si>
    <t xml:space="preserve"> 01 - Stavební a výkopové práce</t>
  </si>
  <si>
    <t>Kabel CYKY-m 750 V 5 x 2,5 mm2 volně uložený</t>
  </si>
  <si>
    <t>03 - Kabely silové</t>
  </si>
  <si>
    <t>CZ60193531</t>
  </si>
  <si>
    <t>Silové kabely DC, včetně montáže (zapojení a uložení) a vedení do místa umístění jednotlivých technologii</t>
  </si>
  <si>
    <t>Uložení kabelových vedení v ochranných trubkách dle PD, včetně práce, materiálu a istalace dle platných předpisů a ČSN</t>
  </si>
  <si>
    <t>Položení ochranné fólie, šířka 33 cm, červená, včetně práce a materiálu</t>
  </si>
  <si>
    <t>Zemnící pásek FeZn 30x4 mm</t>
  </si>
  <si>
    <t>Silové kabely AC do 1 Kv dle PD, včetně montáže (zapojení a uložení) a vedení do místa umístění jednotlivých technologii</t>
  </si>
  <si>
    <t xml:space="preserve">Úprava rozvaděče </t>
  </si>
  <si>
    <t>04 - Žlab kabelový</t>
  </si>
  <si>
    <t>03 - Žlab kabelový</t>
  </si>
  <si>
    <t>02 - Kabely silové</t>
  </si>
  <si>
    <t xml:space="preserve"> </t>
  </si>
  <si>
    <t>03 - Vodiče, šňůry a pospojování</t>
  </si>
  <si>
    <t xml:space="preserve"> 02 - Vytvoření nové zemnící soustavy  </t>
  </si>
  <si>
    <t>Terenní úpravy</t>
  </si>
  <si>
    <t xml:space="preserve"> 01 - Srovnání místa instalace  </t>
  </si>
  <si>
    <t xml:space="preserve">Vnitřní vybavení trafostanice dle PD, osazení rozvaděčů, včetně vyzbrojení, propojení jednotlivých vnitřních části, materiálu, elektroinstalace a práce </t>
  </si>
  <si>
    <t xml:space="preserve">Vybudování nového osvětlení prostoru FVE dle PD, včetně práce, věškerého materiálu, elektroinstalací a dopojení na přívod EE. </t>
  </si>
  <si>
    <t xml:space="preserve">Osazení a napojení jednotlivých čidel pohybu pro samostatné svítidla, včetně realizace centralního vypínače pohybových čidel včetně práce, věškerého materiálu, elektroinstalací, propojení se svítidly a dopojení na přívod EE. </t>
  </si>
  <si>
    <t>05 - Úprava stávajícího VN rozvaděče</t>
  </si>
  <si>
    <t xml:space="preserve">Hloubení kabelových rýh dle PD, včetně techniky a práce </t>
  </si>
  <si>
    <t>Fotovoltaický panel 545 Wp, maximální výkon 545 Wp (za STC), nominální účinnost 21,10 %, monokrystalický, rozměr 2 278 x 1 134 x 35 mm, včetně montáže</t>
  </si>
  <si>
    <t>Pozemní konstrukce fotovoltaických panelů, v provedení dle projektové dokumentace (konstrukce se sklonem 30°); konstrukce musí umožnovat instalaci optimizérů (odstupové vzdálenosti dle instalačního manuálu optimizérů), musí umožnovat umístění střídačů a rozvaděčů na konstrukci, včetně zemních vrutů pro uchycení konstrukce</t>
  </si>
  <si>
    <r>
      <t>Solární kabely 1 x 6 mm</t>
    </r>
    <r>
      <rPr>
        <vertAlign val="super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, červený; černý, UV odolné, včetně montáže (zapojení a uložení do žlabu) a vedení do místa umístění jednotlivých technologii (respektive do jednotlivých rozvaděču RDC)</t>
    </r>
  </si>
  <si>
    <t>Konektory MC4 4-6 mm2 se zámkem, včetně montáže, pro propojení jednotlivých stringů s technologií FVE</t>
  </si>
  <si>
    <t xml:space="preserve">Zřízení systému pozárního tlačítka pro vypnutí dle platných ČSN a dle zpracovaného PBŘ, tlačítko v krabici se sklem se 2 kontakty (1x NC + 1x NO), IP55, 12x12x5 cm, RAL 3000 červená, 1x NO 3 A / 240 V, 1x NC 3 A / 240 V, možnost instalace až 4 nezávislých spínacích kontaktů, včetně montáže a provední kabelové trasy. </t>
  </si>
  <si>
    <t xml:space="preserve">Vytvoření nového oplocení pozemní FV elektrárny dle PD, včetně práce, veškerého materiálů, napínacích prvků, včetně ostnatého drátu, zabetonování jednotlivých sloupků a montažních prací </t>
  </si>
  <si>
    <t>Uložení kabelových vedení v ochranných trubkách dle PD, včetně práce, materiálu a instalace dle platných předpisů a ČSN</t>
  </si>
  <si>
    <t xml:space="preserve">Zásyp kabelových rýh, včetně práce, zhutnění a navracení travního povrchu do původního stavu, včetně osití, humusování atd. </t>
  </si>
  <si>
    <t>02 - Uzemění</t>
  </si>
  <si>
    <t>Zásyp kabelových rýh, včetně práce, zhutnění a navracení travního povrchu do původního stavu, včetně osití, humusování atd.</t>
  </si>
  <si>
    <t>Zajištění prvního paralelního připojení výrobny se zajištěním těchto povinných dokumentů: Provozovatelem DS odsouhlasená projektová dokumentace aktualizovaná podle skutečného stavu provedení výrobny v jednom vyhotovení. Zhotovitelem potvrzené jednopólové schéma zapojení zdroje, jako skutečný stav, pokud již není součástí projektové dokumentace. Zpráva o výchozí revizi elektrického zařízení výrobny a případně dalšího elektrického zařízení nově uváděného do provozu, které souvisí s výrobnou a bez kterého nelze provést připojení výrobny k síti PDS. Zpráva o výchozí revizi el. zařízení – přípojky ve vlastnictví výrobce, popř. potvrzený Protokol o kontrole bezpečnosti a provozuschopnosti elektrického zařízení připojovaného k distribuční soustavě, plánek skutečného provedení el. přípojky, kolaudační souhlas nebo protokol o předčasném užívání přípojky nebo čestné prohlášení o vlastnictví a provozování přípojky (pouze u nového místa připojení). Protokol o nastavení síťových ochran. Protokoly o úředním ověření MTP / MTN. Potvrzení dodavatele, že je výrobna provedena v souladu s podmínkami stanovenými uzavřenou SoP, norem a zásad uvedených v PPDS. Dokument synchronního výrobního modulu B1 (v případě distributora EG. D, a.s.). Podepsaná Příloha č. 2 Smlouvy o připojení (v případě distributora ČEZ Distribuce a.s.)</t>
  </si>
  <si>
    <t xml:space="preserve">Tahové zkoušky zeminy, před realizací (dle typu zvolené KCE)  </t>
  </si>
  <si>
    <t>Vytvoření nové soustavy bleskosvodu dle PD, včetně práce, potřebného materiálu, montáže a uzemněním na novou zemnící soustavu; dle platné legislativy a za předpokladu jejího dodržení</t>
  </si>
  <si>
    <t>Vytvoření nové zemnící soustavy dle PD, včetně práce, potřebného materiálu, montáže a uzemnění všech částí nově budované pozemní FVE; dle platné legislativy a za předpokladu jejího dodržení</t>
  </si>
  <si>
    <t>Úprava terénu zájmového uzemí do základní nivelety s odkopem 5 cm prostřednictvím adekvátní techniky (např. GRADER) dle PD, včetně práce a uskladnění bez zatížení odpadním materiálem</t>
  </si>
  <si>
    <t>Silové kabely AC do 35kV dle PD, včetně montáže (zapojení a uložení) a vedení do místa připojení</t>
  </si>
  <si>
    <t>Zajištění činnosti odborného technického dozoru stavby (TDI)</t>
  </si>
  <si>
    <t>Zajištění činnosti autorského dozoru projektanta stavby (ADP)</t>
  </si>
  <si>
    <t>Zajištění bezpečnosti práce na stavbě (Zajištení koordinátora BOZP)</t>
  </si>
  <si>
    <t>Komplexní řídící systém, včetně softwarové platformy zobrazujicí hospodaření s elektřinou, s možností ukládání dat, instalaci PLC jednotky s vizualizací, dopojení na datové rozvody, instalace rozvaděčů MaR, včeně vyzbrojení, osazení potřebných elektroměrů, včetně práce</t>
  </si>
  <si>
    <t>Kolaudace – spolupráce při zajištění kolaudace se zajištěním těchto povinných dokumentů: Protokol o předání díla. Seznam vad a nedodělků. Provozní řád zařízení. Manuály k dodané technologii díla. Dokumentace k dílu (prohlášení o shodě, technické listy, záruční listy, doklady o montáži). Zpráva o výchozí revizi elektrického zařízení (výrobny včetně protokolu o určení vnějších vlivů a případně dalšího elektrického zařízení nově uváděného do provozu). Zpráva o revizi systému ochrany před bleskem (nebo potvrzení o skutečnosti, že hromosvod nebyl ovlivněn). Zpráva o revizi elektrické instalace (přípojky ve vlastnictví výrobce, trafostanice). Zpráva o výchozí revizi elektrického zařízení rozvaděče MaR. Stavební deník. Doklad o nezávadné likvidaci odpadů. Protokol o evidenci všech odpadů. Státní autorizace na výstavbu výrobny elektřiny (pokud je potřeba). Protokol o provedení vyzkoušení díla. Oznámení o ukončení stavby, žádost o závěrečnou kontrolní prohlídku. Prohlášení o souladu realizované stavby s ověřenou projektovou dokumentací. Doklady prokazující shodu vlastností použitých výrobků s požadavky na stavby. Technické listy všech dodaných zařízení. Fotodokumentace díla.</t>
  </si>
  <si>
    <t>Instalace nové fotovoltaické elektrárny s výkonem 4 257,54 kWp v areálu Potěhy společnosti ČEPRO, a.s.</t>
  </si>
  <si>
    <r>
      <t xml:space="preserve">Prohlášení zpracovatele projektové dokumentace pro provádění stavby:
</t>
    </r>
    <r>
      <rPr>
        <sz val="9"/>
        <rFont val="Trebuchet MS"/>
        <family val="2"/>
      </rPr>
      <t>Umožňuje se, aby kterýkoliv účastník výběrového řízení nabídl dodávku zařízení, které splňuje jiné normy či regulativy, než které jsou uvedeny v zadávací dokumentaci nebo projektové dokumentaci pro provádění stavby, ovšem s tím, že nabízené technické řešení musí minimálně ve stejném rozsahu splňovat funkční požadavky stanovených norem na provozní a požární bezpečnost dodaného zařízení. Pokud dodavatel nebude moci odkázat na takovou jinou připuštěnou normu či regulativ, musí k prokázání splnění alespoň uvedeného minima funkčních požadavků u nabízeného technického řešení doložit k zařízení alespoň technickou dokumentaci výrobce, a nebo zkušební protokoly, osvědčení a další doklady od osoby vykonávajících činnosti v oblasti posuzování shody (jež splňuje požadavky Nařízení Evropského parlamentu a Rady (EU) 765/2008 ze dne 9. 7. 2008), z nichž bude možno splnění požadavků zadavatele ověřit. Tímto je umožněno účastníku výběrového řízení nabídnout i jiné rovnocenné řešení za splnění výše uvedených podmínek (dokladů).</t>
    </r>
    <r>
      <rPr>
        <b/>
        <sz val="9"/>
        <rFont val="Trebuchet MS"/>
        <family val="2"/>
      </rPr>
      <t xml:space="preserve">
Zpracovatelé projektové dokumentace pro provádění stavby pro projekt s názvem „Instalace nové fotovoltaické elektrárny s výkonem 4 257,54 kWp v areálu Potěhy společnosti ČEPRO, a.s.“ prohlašují, že veškeré výše uvedené informace jsou pravdivé, korektní a nebyly vědomě upravovány a nijak zkreslovány. Informace jsou poskytnuty za dodržení principu nejlepšího vědomí a svědomí.</t>
    </r>
  </si>
  <si>
    <t>Instalace pozemní FVE o výkonu 4 257,54 kWp na pozemcích v areálu p. č. 2358/3; p. č. 2358/50; p. č. 2358/46 a p. č. 2358/44</t>
  </si>
  <si>
    <t>Potěhy</t>
  </si>
  <si>
    <t>Vytvoření jednotlivých hlavních ochranných přípojnic MET 1-35 pro jednotlivé hnízda FVE, včetně jejich osazení vybavení a dopojení na nově budovanou zemnící soustavu</t>
  </si>
  <si>
    <t>Rozvaděče RDC 1-35 pro jednotlivé části FVE (nástěnné – skříňové); krytí IP66, včetně montáže, usazení, oživení a výstroje dle PD</t>
  </si>
  <si>
    <t xml:space="preserve"> 01 - Trafostanice TS FVE 1 a TS FVE 2</t>
  </si>
  <si>
    <t xml:space="preserve">Nové trafostanice </t>
  </si>
  <si>
    <t>Trafostanice s možností osazení dvou transformátoru do 1 250 kVA 22/0,42kV EKO 2, s možností vnější obsluhy, plášť trafostanice a střecha z aluzinku, základ betonový vodě i oleji nepropustný bezespárý z jednoho odlitku, včetně zabetonovaných systémových průchodek, průchodky na straně VN i NN, konstrukce dle IEC 62271-202 (ČSN EN 62271-202), ochrana proti obloukovému zkratu s běžnými rozvaděči SF6, dveře a větrací elementy z eloxovaného hliníku, včetně osazení dvou transformátorů dle PD, pojistkové odpínače, kompaktní jistič, jističe (pojistkový odpínač), výpínač na VN straně, osazení svodiče přepětí, instalace vnitřního zemnícího okruhu FeZn pásek a propojení technologie, 2 x zemnící průchodka pro napojení vnějšího zemnícího okruhu, základního osvětlení kompaktní blokové trafostanice, přípravy podlahy pod VN rozvaděč (RAC), odolnost před účinky obloukového zkratu dle ČSN EN 62271-202 ed.2 IAC-AB 20kA/1s, včetně usazení trafostanice, materiálu a práce</t>
  </si>
  <si>
    <t>Všechny potřebné hardwarové, softwarové a komunikační prvky pro vytvoření stanovené regulace FVE ze strany PDS a připojovacích podmínek výroben dle aktuální SoPV a PPDS zejména dle přílohy č. 4 - „Pravidla pro paralelní provoz výroben a akumulačních zařízení se sítí provozovatele distribuční soustavy“, včetně osazení, zapojení a instalace.</t>
  </si>
  <si>
    <t xml:space="preserve">Úprava stávajícího hlavního VN rozvaděče areálu, dle platných předpisů, legislativy a ČSN, včetně elektroinstalace, materiálu a práce  </t>
  </si>
  <si>
    <t xml:space="preserve">Vytvoření přistupových bodu do prostoru FVE dle PD, v podobě motorizovaných vrat, včetně veškerého materiálu, motorového pohonu, souvisejicích prací, připojení EE a montažních prací </t>
  </si>
  <si>
    <t>Umístění dvou nových prefabrikovaných trafostanic o výkonu 2 500 kVA a 2 250 kVA, včetně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</si>
</sst>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%;\-0.00%"/>
    <numFmt numFmtId="165" formatCode="dd\.mm\.yyyy"/>
    <numFmt numFmtId="166" formatCode="#,##0.00000;\-#,##0.00000"/>
    <numFmt numFmtId="167" formatCode="#,##0.000;\-#,##0.000"/>
    <numFmt numFmtId="168" formatCode="#,##0.00\ _K_č;\-#,##0.00\ _K_č"/>
  </numFmts>
  <fonts count="43">
    <font>
      <sz val="8"/>
      <name val="Trebuchet MS"/>
      <family val="2"/>
    </font>
    <font>
      <sz val="10"/>
      <name val="Arial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sz val="8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  <font>
      <b/>
      <sz val="11"/>
      <name val="Trebuchet MS"/>
      <family val="2"/>
    </font>
    <font>
      <b/>
      <sz val="11"/>
      <color rgb="FFFF0000"/>
      <name val="Trebuchet MS"/>
      <family val="2"/>
    </font>
    <font>
      <sz val="8"/>
      <color rgb="FFFF0000"/>
      <name val="Trebuchet MS"/>
      <family val="2"/>
    </font>
    <font>
      <sz val="8"/>
      <color rgb="FF000000"/>
      <name val="Trebuchet MS"/>
      <family val="2"/>
    </font>
    <font>
      <sz val="10"/>
      <color rgb="FF003366"/>
      <name val="Trebuchet MS"/>
      <family val="2"/>
    </font>
    <font>
      <sz val="12"/>
      <color rgb="FF003366"/>
      <name val="Trebuchet MS"/>
      <family val="2"/>
    </font>
    <font>
      <vertAlign val="superscript"/>
      <sz val="8"/>
      <color rgb="FF00000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3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  <xf numFmtId="0" fontId="34" fillId="0" borderId="0" applyNumberFormat="0" applyFill="0" applyBorder="0">
      <alignment/>
      <protection locked="0"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2">
    <xf numFmtId="0" fontId="0" fillId="0" borderId="0" xfId="0" applyAlignment="1" applyProtection="1">
      <alignment vertical="top"/>
      <protection locked="0"/>
    </xf>
    <xf numFmtId="0" fontId="2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0" fillId="2" borderId="0" xfId="0" applyFont="1" applyFill="1" applyAlignment="1" applyProtection="1">
      <alignment horizontal="left" vertical="center"/>
      <protection/>
    </xf>
    <xf numFmtId="0" fontId="35" fillId="2" borderId="0" xfId="21" applyFont="1" applyFill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9" fillId="3" borderId="9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39" fontId="17" fillId="0" borderId="13" xfId="0" applyNumberFormat="1" applyFont="1" applyBorder="1" applyAlignment="1" applyProtection="1">
      <alignment horizontal="right" vertical="center"/>
      <protection/>
    </xf>
    <xf numFmtId="39" fontId="17" fillId="0" borderId="0" xfId="0" applyNumberFormat="1" applyFont="1" applyAlignment="1" applyProtection="1">
      <alignment horizontal="righ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39" fontId="17" fillId="0" borderId="14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39" fontId="23" fillId="0" borderId="13" xfId="0" applyNumberFormat="1" applyFont="1" applyBorder="1" applyAlignment="1" applyProtection="1">
      <alignment horizontal="right" vertical="center"/>
      <protection/>
    </xf>
    <xf numFmtId="39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39" fontId="23" fillId="0" borderId="14" xfId="0" applyNumberFormat="1" applyFont="1" applyBorder="1" applyAlignment="1" applyProtection="1">
      <alignment horizontal="righ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15" fillId="0" borderId="13" xfId="0" applyNumberFormat="1" applyFont="1" applyBorder="1" applyAlignment="1" applyProtection="1">
      <alignment horizontal="right" vertical="center"/>
      <protection/>
    </xf>
    <xf numFmtId="39" fontId="15" fillId="0" borderId="0" xfId="0" applyNumberFormat="1" applyFont="1" applyAlignment="1" applyProtection="1">
      <alignment horizontal="righ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39" fontId="15" fillId="0" borderId="14" xfId="0" applyNumberFormat="1" applyFont="1" applyBorder="1" applyAlignment="1" applyProtection="1">
      <alignment horizontal="right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164" fontId="15" fillId="4" borderId="13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Alignment="1" applyProtection="1">
      <alignment horizontal="center" vertical="center"/>
      <protection/>
    </xf>
    <xf numFmtId="164" fontId="15" fillId="4" borderId="15" xfId="0" applyNumberFormat="1" applyFont="1" applyFill="1" applyBorder="1" applyAlignment="1" applyProtection="1">
      <alignment horizontal="center" vertical="center"/>
      <protection/>
    </xf>
    <xf numFmtId="0" fontId="15" fillId="4" borderId="16" xfId="0" applyFont="1" applyFill="1" applyBorder="1" applyAlignment="1" applyProtection="1">
      <alignment horizontal="center" vertical="center"/>
      <protection/>
    </xf>
    <xf numFmtId="39" fontId="15" fillId="0" borderId="17" xfId="0" applyNumberFormat="1" applyFont="1" applyBorder="1" applyAlignment="1" applyProtection="1">
      <alignment horizontal="right" vertical="center"/>
      <protection/>
    </xf>
    <xf numFmtId="0" fontId="18" fillId="3" borderId="0" xfId="0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25" fillId="0" borderId="4" xfId="0" applyFont="1" applyBorder="1" applyAlignment="1" applyProtection="1">
      <alignment horizontal="left" vertical="center"/>
      <protection/>
    </xf>
    <xf numFmtId="0" fontId="25" fillId="0" borderId="5" xfId="0" applyFont="1" applyBorder="1" applyAlignment="1" applyProtection="1">
      <alignment horizontal="left" vertical="center"/>
      <protection/>
    </xf>
    <xf numFmtId="0" fontId="24" fillId="0" borderId="4" xfId="0" applyFont="1" applyBorder="1" applyAlignment="1" applyProtection="1">
      <alignment horizontal="left" vertical="center"/>
      <protection/>
    </xf>
    <xf numFmtId="0" fontId="24" fillId="0" borderId="5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6" fontId="27" fillId="0" borderId="11" xfId="0" applyNumberFormat="1" applyFont="1" applyBorder="1" applyAlignment="1" applyProtection="1">
      <alignment horizontal="right"/>
      <protection/>
    </xf>
    <xf numFmtId="166" fontId="27" fillId="0" borderId="12" xfId="0" applyNumberFormat="1" applyFont="1" applyBorder="1" applyAlignment="1" applyProtection="1">
      <alignment horizontal="right"/>
      <protection/>
    </xf>
    <xf numFmtId="39" fontId="28" fillId="0" borderId="0" xfId="0" applyNumberFormat="1" applyFont="1" applyAlignment="1" applyProtection="1">
      <alignment horizontal="right" vertical="center"/>
      <protection/>
    </xf>
    <xf numFmtId="0" fontId="26" fillId="0" borderId="4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6" fillId="0" borderId="5" xfId="0" applyFont="1" applyBorder="1" applyAlignment="1" applyProtection="1">
      <alignment horizontal="left"/>
      <protection/>
    </xf>
    <xf numFmtId="0" fontId="13" fillId="4" borderId="24" xfId="0" applyFont="1" applyFill="1" applyBorder="1" applyAlignment="1" applyProtection="1">
      <alignment horizontal="left" vertical="center"/>
      <protection/>
    </xf>
    <xf numFmtId="166" fontId="13" fillId="0" borderId="14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14" fontId="7" fillId="4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3" fillId="4" borderId="13" xfId="0" applyFont="1" applyFill="1" applyBorder="1" applyAlignment="1" applyProtection="1">
      <alignment horizontal="left" vertical="center"/>
      <protection/>
    </xf>
    <xf numFmtId="0" fontId="13" fillId="4" borderId="0" xfId="0" applyFont="1" applyFill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top"/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/>
      <protection/>
    </xf>
    <xf numFmtId="166" fontId="26" fillId="0" borderId="0" xfId="0" applyNumberFormat="1" applyFont="1" applyAlignment="1" applyProtection="1">
      <alignment horizontal="right"/>
      <protection/>
    </xf>
    <xf numFmtId="166" fontId="26" fillId="0" borderId="14" xfId="0" applyNumberFormat="1" applyFont="1" applyBorder="1" applyAlignment="1" applyProtection="1">
      <alignment horizontal="right"/>
      <protection/>
    </xf>
    <xf numFmtId="39" fontId="26" fillId="0" borderId="0" xfId="0" applyNumberFormat="1" applyFont="1" applyAlignment="1" applyProtection="1">
      <alignment horizontal="right" vertical="center"/>
      <protection/>
    </xf>
    <xf numFmtId="0" fontId="34" fillId="0" borderId="0" xfId="21" applyAlignment="1" applyProtection="1">
      <alignment horizontal="center" vertical="center"/>
      <protection/>
    </xf>
    <xf numFmtId="166" fontId="13" fillId="0" borderId="0" xfId="0" applyNumberFormat="1" applyFont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67" fontId="0" fillId="0" borderId="24" xfId="0" applyNumberForma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39" fontId="20" fillId="0" borderId="0" xfId="0" applyNumberFormat="1" applyFont="1" applyAlignment="1" applyProtection="1">
      <alignment horizontal="left" vertical="center"/>
      <protection/>
    </xf>
    <xf numFmtId="39" fontId="37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top"/>
      <protection/>
    </xf>
    <xf numFmtId="0" fontId="0" fillId="0" borderId="30" xfId="0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left"/>
      <protection/>
    </xf>
    <xf numFmtId="0" fontId="26" fillId="0" borderId="30" xfId="0" applyFont="1" applyBorder="1" applyAlignment="1" applyProtection="1">
      <alignment horizontal="left"/>
      <protection/>
    </xf>
    <xf numFmtId="0" fontId="9" fillId="3" borderId="0" xfId="0" applyFont="1" applyFill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167" fontId="0" fillId="0" borderId="0" xfId="0" applyNumberFormat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167" fontId="0" fillId="0" borderId="31" xfId="28" applyNumberForma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5" fillId="5" borderId="0" xfId="0" applyFont="1" applyFill="1" applyAlignment="1" applyProtection="1">
      <alignment horizontal="left"/>
      <protection/>
    </xf>
    <xf numFmtId="0" fontId="0" fillId="5" borderId="0" xfId="0" applyFont="1" applyFill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167" fontId="0" fillId="5" borderId="24" xfId="0" applyNumberFormat="1" applyFill="1" applyBorder="1" applyAlignment="1" applyProtection="1">
      <alignment horizontal="right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Border="1" applyAlignment="1" applyProtection="1">
      <alignment horizontal="left" vertical="center" wrapText="1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49" fontId="0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/>
      <protection/>
    </xf>
    <xf numFmtId="0" fontId="7" fillId="3" borderId="22" xfId="0" applyFont="1" applyFill="1" applyBorder="1" applyAlignment="1" applyProtection="1">
      <alignment horizontal="center" vertical="center" wrapText="1"/>
      <protection/>
    </xf>
    <xf numFmtId="0" fontId="29" fillId="0" borderId="24" xfId="25" applyFont="1" applyBorder="1" applyAlignment="1">
      <alignment horizontal="center" vertical="center"/>
      <protection/>
    </xf>
    <xf numFmtId="0" fontId="40" fillId="0" borderId="0" xfId="0" applyFont="1" applyAlignment="1" applyProtection="1">
      <alignment horizontal="justify" vertical="center"/>
      <protection/>
    </xf>
    <xf numFmtId="39" fontId="0" fillId="0" borderId="0" xfId="0" applyNumberFormat="1" applyAlignment="1" applyProtection="1">
      <alignment horizontal="left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0" fontId="41" fillId="0" borderId="0" xfId="0" applyFont="1" applyAlignment="1" applyProtection="1">
      <alignment horizontal="justify" vertical="center"/>
      <protection/>
    </xf>
    <xf numFmtId="49" fontId="0" fillId="0" borderId="31" xfId="0" applyNumberFormat="1" applyBorder="1" applyAlignment="1" applyProtection="1">
      <alignment horizontal="left" vertical="center" wrapText="1"/>
      <protection/>
    </xf>
    <xf numFmtId="167" fontId="0" fillId="0" borderId="31" xfId="0" applyNumberFormat="1" applyBorder="1" applyAlignment="1" applyProtection="1">
      <alignment horizontal="right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left" vertical="top"/>
      <protection/>
    </xf>
    <xf numFmtId="0" fontId="0" fillId="0" borderId="38" xfId="0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0" fillId="0" borderId="38" xfId="0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9" fontId="13" fillId="0" borderId="0" xfId="0" applyNumberFormat="1" applyFont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7" fillId="3" borderId="0" xfId="0" applyFont="1" applyFill="1" applyAlignment="1" applyProtection="1">
      <alignment vertical="center"/>
      <protection/>
    </xf>
    <xf numFmtId="0" fontId="7" fillId="3" borderId="22" xfId="0" applyFont="1" applyFill="1" applyBorder="1" applyAlignment="1" applyProtection="1">
      <alignment vertical="center" wrapText="1"/>
      <protection/>
    </xf>
    <xf numFmtId="0" fontId="0" fillId="3" borderId="22" xfId="0" applyFill="1" applyBorder="1" applyAlignment="1" applyProtection="1">
      <alignment vertical="center" wrapText="1"/>
      <protection/>
    </xf>
    <xf numFmtId="0" fontId="0" fillId="5" borderId="0" xfId="0" applyFill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top"/>
      <protection/>
    </xf>
    <xf numFmtId="0" fontId="41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justify" vertical="center" wrapText="1"/>
      <protection/>
    </xf>
    <xf numFmtId="0" fontId="24" fillId="0" borderId="0" xfId="0" applyFont="1" applyAlignment="1" applyProtection="1">
      <alignment horizontal="justify"/>
      <protection/>
    </xf>
    <xf numFmtId="39" fontId="18" fillId="3" borderId="0" xfId="0" applyNumberFormat="1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 wrapText="1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39" fontId="22" fillId="0" borderId="0" xfId="0" applyNumberFormat="1" applyFont="1" applyAlignment="1" applyProtection="1">
      <alignment horizontal="righ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3" borderId="39" xfId="0" applyFill="1" applyBorder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39" fontId="9" fillId="3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39" fontId="12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9" fontId="11" fillId="0" borderId="0" xfId="0" applyNumberFormat="1" applyFont="1" applyAlignment="1" applyProtection="1">
      <alignment horizontal="right" vertical="center"/>
      <protection/>
    </xf>
    <xf numFmtId="39" fontId="13" fillId="0" borderId="0" xfId="0" applyNumberFormat="1" applyFont="1" applyAlignment="1" applyProtection="1">
      <alignment horizontal="right" vertical="center"/>
      <protection/>
    </xf>
    <xf numFmtId="0" fontId="7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9" fontId="1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165" fontId="7" fillId="4" borderId="0" xfId="0" applyNumberFormat="1" applyFont="1" applyFill="1" applyAlignment="1" applyProtection="1">
      <alignment horizontal="left" vertical="top"/>
      <protection locked="0"/>
    </xf>
    <xf numFmtId="39" fontId="25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center" vertical="center"/>
      <protection/>
    </xf>
    <xf numFmtId="0" fontId="35" fillId="2" borderId="0" xfId="21" applyFont="1" applyFill="1" applyAlignment="1" applyProtection="1">
      <alignment horizontal="center" vertical="center"/>
      <protection/>
    </xf>
    <xf numFmtId="39" fontId="0" fillId="0" borderId="24" xfId="0" applyNumberForma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39" fontId="0" fillId="4" borderId="21" xfId="0" applyNumberFormat="1" applyFill="1" applyBorder="1" applyAlignment="1" applyProtection="1">
      <alignment horizontal="right" vertical="center"/>
      <protection locked="0"/>
    </xf>
    <xf numFmtId="39" fontId="0" fillId="4" borderId="23" xfId="0" applyNumberFormat="1" applyFill="1" applyBorder="1" applyAlignment="1" applyProtection="1">
      <alignment horizontal="right" vertical="center"/>
      <protection locked="0"/>
    </xf>
    <xf numFmtId="39" fontId="0" fillId="4" borderId="24" xfId="0" applyNumberForma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39" fontId="9" fillId="3" borderId="0" xfId="0" applyNumberFormat="1" applyFont="1" applyFill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/>
      <protection/>
    </xf>
    <xf numFmtId="39" fontId="25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39" fontId="24" fillId="0" borderId="0" xfId="0" applyNumberFormat="1" applyFont="1" applyAlignment="1" applyProtection="1">
      <alignment horizontal="right"/>
      <protection/>
    </xf>
    <xf numFmtId="0" fontId="7" fillId="3" borderId="0" xfId="0" applyFont="1" applyFill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40" xfId="0" applyFont="1" applyBorder="1" applyAlignment="1" applyProtection="1">
      <alignment horizontal="justify" vertical="center" wrapText="1"/>
      <protection/>
    </xf>
    <xf numFmtId="0" fontId="0" fillId="0" borderId="36" xfId="0" applyFont="1" applyBorder="1" applyAlignment="1" applyProtection="1">
      <alignment horizontal="justify" vertical="center" wrapText="1"/>
      <protection/>
    </xf>
    <xf numFmtId="0" fontId="7" fillId="3" borderId="22" xfId="0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 applyProtection="1">
      <alignment horizontal="center" vertical="center" wrapText="1"/>
      <protection/>
    </xf>
    <xf numFmtId="0" fontId="39" fillId="0" borderId="35" xfId="0" applyFont="1" applyBorder="1" applyAlignment="1" applyProtection="1">
      <alignment horizontal="justify" vertical="center" wrapText="1"/>
      <protection/>
    </xf>
    <xf numFmtId="0" fontId="39" fillId="0" borderId="40" xfId="0" applyFont="1" applyBorder="1" applyAlignment="1" applyProtection="1">
      <alignment horizontal="justify" vertical="center" wrapText="1"/>
      <protection/>
    </xf>
    <xf numFmtId="0" fontId="39" fillId="0" borderId="36" xfId="0" applyFont="1" applyBorder="1" applyAlignment="1" applyProtection="1">
      <alignment horizontal="justify" vertical="center" wrapText="1"/>
      <protection/>
    </xf>
    <xf numFmtId="39" fontId="0" fillId="0" borderId="21" xfId="0" applyNumberFormat="1" applyBorder="1" applyAlignment="1" applyProtection="1">
      <alignment horizontal="right" vertical="center"/>
      <protection/>
    </xf>
    <xf numFmtId="39" fontId="0" fillId="0" borderId="22" xfId="0" applyNumberFormat="1" applyBorder="1" applyAlignment="1" applyProtection="1">
      <alignment horizontal="right" vertical="center"/>
      <protection/>
    </xf>
    <xf numFmtId="39" fontId="0" fillId="0" borderId="23" xfId="0" applyNumberFormat="1" applyBorder="1" applyAlignment="1" applyProtection="1">
      <alignment horizontal="right" vertical="center"/>
      <protection/>
    </xf>
    <xf numFmtId="39" fontId="0" fillId="4" borderId="33" xfId="28" applyNumberFormat="1" applyFill="1" applyBorder="1" applyAlignment="1" applyProtection="1">
      <alignment horizontal="right" vertical="center"/>
      <protection locked="0"/>
    </xf>
    <xf numFmtId="39" fontId="0" fillId="4" borderId="34" xfId="28" applyNumberFormat="1" applyFill="1" applyBorder="1" applyAlignment="1" applyProtection="1">
      <alignment horizontal="right" vertical="center"/>
      <protection locked="0"/>
    </xf>
    <xf numFmtId="39" fontId="24" fillId="0" borderId="16" xfId="0" applyNumberFormat="1" applyFont="1" applyBorder="1" applyAlignment="1" applyProtection="1">
      <alignment horizontal="right"/>
      <protection/>
    </xf>
    <xf numFmtId="39" fontId="25" fillId="0" borderId="11" xfId="0" applyNumberFormat="1" applyFont="1" applyBorder="1" applyAlignment="1" applyProtection="1">
      <alignment horizontal="right"/>
      <protection/>
    </xf>
    <xf numFmtId="39" fontId="24" fillId="0" borderId="22" xfId="0" applyNumberFormat="1" applyFont="1" applyBorder="1" applyAlignment="1" applyProtection="1">
      <alignment horizontal="right"/>
      <protection/>
    </xf>
    <xf numFmtId="0" fontId="39" fillId="0" borderId="35" xfId="0" applyFont="1" applyBorder="1" applyAlignment="1" applyProtection="1">
      <alignment vertical="center" wrapText="1"/>
      <protection/>
    </xf>
    <xf numFmtId="0" fontId="39" fillId="0" borderId="40" xfId="0" applyFont="1" applyBorder="1" applyAlignment="1" applyProtection="1">
      <alignment vertical="center" wrapText="1"/>
      <protection/>
    </xf>
    <xf numFmtId="0" fontId="39" fillId="0" borderId="36" xfId="0" applyFont="1" applyBorder="1" applyAlignment="1" applyProtection="1">
      <alignment vertical="center" wrapText="1"/>
      <protection/>
    </xf>
    <xf numFmtId="0" fontId="0" fillId="0" borderId="24" xfId="28" applyBorder="1" applyAlignment="1" applyProtection="1">
      <alignment vertical="center" wrapText="1"/>
      <protection/>
    </xf>
    <xf numFmtId="0" fontId="0" fillId="0" borderId="24" xfId="28" applyBorder="1" applyAlignment="1" applyProtection="1">
      <alignment vertical="center"/>
      <protection/>
    </xf>
    <xf numFmtId="39" fontId="0" fillId="4" borderId="31" xfId="28" applyNumberFormat="1" applyFill="1" applyBorder="1" applyAlignment="1" applyProtection="1">
      <alignment horizontal="right" vertical="center"/>
      <protection locked="0"/>
    </xf>
    <xf numFmtId="0" fontId="39" fillId="0" borderId="35" xfId="0" applyFont="1" applyBorder="1" applyAlignment="1" applyProtection="1">
      <alignment horizontal="justify" vertical="center"/>
      <protection/>
    </xf>
    <xf numFmtId="0" fontId="39" fillId="0" borderId="40" xfId="0" applyFont="1" applyBorder="1" applyAlignment="1" applyProtection="1">
      <alignment horizontal="justify" vertical="center"/>
      <protection/>
    </xf>
    <xf numFmtId="0" fontId="39" fillId="0" borderId="36" xfId="0" applyFont="1" applyBorder="1" applyAlignment="1" applyProtection="1">
      <alignment horizontal="justify" vertical="center"/>
      <protection/>
    </xf>
    <xf numFmtId="168" fontId="0" fillId="0" borderId="32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 wrapText="1"/>
      <protection/>
    </xf>
    <xf numFmtId="39" fontId="0" fillId="4" borderId="31" xfId="0" applyNumberFormat="1" applyFill="1" applyBorder="1" applyAlignment="1" applyProtection="1">
      <alignment horizontal="right" vertical="center"/>
      <protection locked="0"/>
    </xf>
    <xf numFmtId="0" fontId="0" fillId="0" borderId="31" xfId="28" applyBorder="1" applyAlignment="1" applyProtection="1">
      <alignment horizontal="justify" vertical="center" wrapText="1"/>
      <protection/>
    </xf>
    <xf numFmtId="0" fontId="0" fillId="0" borderId="31" xfId="28" applyBorder="1" applyAlignment="1" applyProtection="1">
      <alignment horizontal="justify" vertical="center"/>
      <protection/>
    </xf>
    <xf numFmtId="0" fontId="0" fillId="0" borderId="31" xfId="0" applyBorder="1" applyAlignment="1" applyProtection="1">
      <alignment horizontal="left" vertical="center"/>
      <protection locked="0"/>
    </xf>
    <xf numFmtId="39" fontId="12" fillId="0" borderId="16" xfId="0" applyNumberFormat="1" applyFont="1" applyBorder="1" applyAlignment="1" applyProtection="1">
      <alignment horizontal="right" vertical="center"/>
      <protection/>
    </xf>
    <xf numFmtId="0" fontId="7" fillId="3" borderId="22" xfId="0" applyFont="1" applyFill="1" applyBorder="1" applyAlignment="1" applyProtection="1">
      <alignment horizontal="right" vertical="center" wrapText="1"/>
      <protection/>
    </xf>
    <xf numFmtId="0" fontId="0" fillId="0" borderId="31" xfId="0" applyFont="1" applyBorder="1" applyAlignment="1" applyProtection="1">
      <alignment horizontal="justify" vertical="center" wrapText="1"/>
      <protection/>
    </xf>
    <xf numFmtId="0" fontId="0" fillId="0" borderId="31" xfId="0" applyBorder="1" applyAlignment="1" applyProtection="1">
      <alignment horizontal="justify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7" fillId="3" borderId="0" xfId="0" applyFont="1" applyFill="1" applyAlignment="1" applyProtection="1">
      <alignment horizontal="right" vertical="center"/>
      <protection/>
    </xf>
    <xf numFmtId="39" fontId="18" fillId="0" borderId="11" xfId="0" applyNumberFormat="1" applyFont="1" applyBorder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39" fontId="0" fillId="4" borderId="21" xfId="0" applyNumberFormat="1" applyFont="1" applyFill="1" applyBorder="1" applyAlignment="1" applyProtection="1">
      <alignment horizontal="right" vertical="center"/>
      <protection locked="0"/>
    </xf>
    <xf numFmtId="0" fontId="39" fillId="0" borderId="41" xfId="0" applyFont="1" applyBorder="1" applyAlignment="1" applyProtection="1">
      <alignment horizontal="justify" vertical="center" wrapText="1"/>
      <protection/>
    </xf>
    <xf numFmtId="0" fontId="39" fillId="0" borderId="42" xfId="0" applyFont="1" applyBorder="1" applyAlignment="1" applyProtection="1">
      <alignment horizontal="justify" vertical="center" wrapText="1"/>
      <protection/>
    </xf>
    <xf numFmtId="0" fontId="39" fillId="0" borderId="43" xfId="0" applyFont="1" applyBorder="1" applyAlignment="1" applyProtection="1">
      <alignment horizontal="justify" vertical="center" wrapText="1"/>
      <protection/>
    </xf>
    <xf numFmtId="0" fontId="0" fillId="5" borderId="24" xfId="0" applyFont="1" applyFill="1" applyBorder="1" applyAlignment="1" applyProtection="1">
      <alignment horizontal="left" vertical="center" wrapText="1"/>
      <protection/>
    </xf>
    <xf numFmtId="0" fontId="0" fillId="5" borderId="24" xfId="0" applyFill="1" applyBorder="1" applyAlignment="1" applyProtection="1">
      <alignment horizontal="left" vertical="center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 2" xfId="20"/>
    <cellStyle name="Hypertextový odkaz" xfId="21"/>
    <cellStyle name="Hypertextový odkaz 2" xfId="22"/>
    <cellStyle name="Normale 2" xfId="23"/>
    <cellStyle name="Normální 2" xfId="24"/>
    <cellStyle name="Normální 3" xfId="25"/>
    <cellStyle name="Normální 4" xfId="26"/>
    <cellStyle name="Normální 4 2" xfId="27"/>
    <cellStyle name="Normální 5" xfId="28"/>
    <cellStyle name="Normální 4 4" xfId="29"/>
    <cellStyle name="Normální 4 2 2" xfId="30"/>
    <cellStyle name="Normální 4 2 3" xfId="31"/>
    <cellStyle name="Normální 4 3" xfId="32"/>
    <cellStyle name="Normální 4 4 2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DOCUME~1\HETYCH~1\LOCALS~1\Temp\KrosPlus\rad0106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252" name="rad5AD86.tmp" descr="C:\DOCUME~1\HETYCH~1\LOCALS~1\Temp\KrosPlus\rad5AD86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265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457" name="rad01068.tmp" descr="C:\DOCUME~1\HETYCH~1\LOCALS~1\Temp\KrosPlus\rad01068.tmp">
          <a:hlinkClick r:id="rId3"/>
        </xdr:cNvPr>
        <xdr:cNvPicPr preferRelativeResize="1">
          <a:picLocks noChangeAspect="0"/>
        </xdr:cNvPicPr>
      </xdr:nvPicPr>
      <x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00"/>
  <sheetViews>
    <sheetView showGridLines="0" tabSelected="1" zoomScaleSheetLayoutView="100" workbookViewId="0" topLeftCell="A1">
      <pane ySplit="1" topLeftCell="A2" activePane="bottomLeft" state="frozen"/>
      <selection pane="topLeft" activeCell="F151" sqref="F151:I151"/>
      <selection pane="bottomLeft" activeCell="AN8" sqref="AN8"/>
    </sheetView>
  </sheetViews>
  <sheetFormatPr defaultColWidth="10.6601562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9" width="2.5" style="6" customWidth="1"/>
    <col min="10" max="10" width="8.5" style="6" customWidth="1"/>
    <col min="11" max="31" width="2.5" style="6" customWidth="1"/>
    <col min="32" max="32" width="3" style="6" customWidth="1"/>
    <col min="33" max="33" width="2.5" style="6" customWidth="1"/>
    <col min="34" max="34" width="3.33203125" style="6" customWidth="1"/>
    <col min="35" max="35" width="2.5" style="6" customWidth="1"/>
    <col min="36" max="37" width="3.16015625" style="6" customWidth="1"/>
    <col min="38" max="38" width="7.83203125" style="6" customWidth="1"/>
    <col min="39" max="39" width="10.83203125" style="6" customWidth="1"/>
    <col min="40" max="40" width="13.33203125" style="6" customWidth="1"/>
    <col min="41" max="41" width="7.5" style="6" customWidth="1"/>
    <col min="42" max="42" width="4.16015625" style="6" customWidth="1"/>
    <col min="43" max="43" width="1.66796875" style="6" customWidth="1"/>
    <col min="44" max="44" width="9.83203125" style="6" customWidth="1"/>
    <col min="45" max="45" width="26.16015625" style="6" hidden="1" customWidth="1"/>
    <col min="46" max="46" width="14" style="6" hidden="1" customWidth="1"/>
    <col min="47" max="47" width="21.66015625" style="6" hidden="1" customWidth="1"/>
    <col min="48" max="48" width="16" style="6" hidden="1" customWidth="1"/>
    <col min="49" max="49" width="16.33203125" style="6" hidden="1" customWidth="1"/>
    <col min="50" max="50" width="15.5" style="6" hidden="1" customWidth="1"/>
    <col min="51" max="51" width="14.33203125" style="6" hidden="1" customWidth="1"/>
    <col min="52" max="52" width="6.83203125" style="6" hidden="1" customWidth="1"/>
    <col min="53" max="53" width="8.5" style="6" hidden="1" customWidth="1"/>
    <col min="54" max="54" width="12.66015625" style="6" hidden="1" customWidth="1"/>
    <col min="55" max="56" width="8" style="6" hidden="1" customWidth="1"/>
    <col min="57" max="57" width="66.5" style="6" customWidth="1"/>
    <col min="58" max="58" width="10.66015625" style="6" customWidth="1"/>
    <col min="59" max="59" width="10.66015625" style="6" hidden="1" customWidth="1"/>
    <col min="60" max="70" width="15.83203125" style="6" hidden="1" customWidth="1"/>
    <col min="71" max="89" width="10.66015625" style="6" hidden="1" customWidth="1"/>
    <col min="90" max="90" width="10.66015625" style="6" customWidth="1"/>
    <col min="91" max="16384" width="10.66015625" style="6" customWidth="1"/>
  </cols>
  <sheetData>
    <row r="1" spans="1:73" s="5" customFormat="1" ht="22.5" customHeight="1">
      <c r="A1" s="1">
        <v>2012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4" t="s">
        <v>104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105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BA1" s="1" t="s">
        <v>1</v>
      </c>
      <c r="BT1" s="1" t="s">
        <v>2</v>
      </c>
      <c r="BU1" s="1" t="s">
        <v>2</v>
      </c>
    </row>
    <row r="2" spans="3:72" ht="37.5" customHeight="1">
      <c r="C2" s="236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R2" s="216" t="s">
        <v>3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7" t="s">
        <v>4</v>
      </c>
      <c r="BT2" s="7" t="s">
        <v>5</v>
      </c>
    </row>
    <row r="3" spans="2:72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4</v>
      </c>
      <c r="BT3" s="7" t="s">
        <v>6</v>
      </c>
    </row>
    <row r="4" spans="2:71" ht="37.5" customHeight="1">
      <c r="B4" s="11"/>
      <c r="C4" s="231" t="s">
        <v>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12"/>
      <c r="AS4" s="13" t="s">
        <v>8</v>
      </c>
      <c r="BE4" s="14" t="s">
        <v>9</v>
      </c>
      <c r="BS4" s="7" t="s">
        <v>10</v>
      </c>
    </row>
    <row r="5" spans="2:71" ht="15" customHeight="1">
      <c r="B5" s="11"/>
      <c r="D5" s="15" t="s">
        <v>11</v>
      </c>
      <c r="K5" s="212" t="s">
        <v>118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Q5" s="12"/>
      <c r="BE5" s="227" t="s">
        <v>116</v>
      </c>
      <c r="BS5" s="7" t="s">
        <v>4</v>
      </c>
    </row>
    <row r="6" spans="2:71" ht="37.5" customHeight="1">
      <c r="B6" s="11"/>
      <c r="D6" s="17" t="s">
        <v>12</v>
      </c>
      <c r="K6" s="228" t="s">
        <v>235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Q6" s="12"/>
      <c r="BE6" s="217"/>
      <c r="BS6" s="7" t="s">
        <v>4</v>
      </c>
    </row>
    <row r="7" spans="2:71" ht="15" customHeight="1">
      <c r="B7" s="11"/>
      <c r="D7" s="18" t="s">
        <v>13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18" t="s">
        <v>14</v>
      </c>
      <c r="AN7" s="16"/>
      <c r="AQ7" s="12"/>
      <c r="BE7" s="217"/>
      <c r="BS7" s="7" t="s">
        <v>4</v>
      </c>
    </row>
    <row r="8" spans="2:71" ht="15" customHeight="1">
      <c r="B8" s="11"/>
      <c r="D8" s="18" t="s">
        <v>15</v>
      </c>
      <c r="K8" s="212" t="s">
        <v>238</v>
      </c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18" t="s">
        <v>16</v>
      </c>
      <c r="AN8" s="106">
        <f ca="1">TODAY()</f>
        <v>45268</v>
      </c>
      <c r="AQ8" s="12"/>
      <c r="BE8" s="217"/>
      <c r="BS8" s="7" t="s">
        <v>4</v>
      </c>
    </row>
    <row r="9" spans="2:71" ht="15" customHeight="1">
      <c r="B9" s="11"/>
      <c r="AQ9" s="12"/>
      <c r="BE9" s="217"/>
      <c r="BS9" s="7" t="s">
        <v>4</v>
      </c>
    </row>
    <row r="10" spans="2:71" ht="15" customHeight="1">
      <c r="B10" s="11"/>
      <c r="D10" s="18" t="s">
        <v>17</v>
      </c>
      <c r="AK10" s="18" t="s">
        <v>18</v>
      </c>
      <c r="AN10" s="16">
        <v>60193531</v>
      </c>
      <c r="AQ10" s="12"/>
      <c r="BE10" s="217"/>
      <c r="BS10" s="7" t="s">
        <v>4</v>
      </c>
    </row>
    <row r="11" spans="2:71" ht="19.5" customHeight="1">
      <c r="B11" s="11"/>
      <c r="E11" s="212" t="s">
        <v>169</v>
      </c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18" t="s">
        <v>19</v>
      </c>
      <c r="AN11" s="16" t="s">
        <v>194</v>
      </c>
      <c r="AQ11" s="12"/>
      <c r="BE11" s="217"/>
      <c r="BS11" s="7" t="s">
        <v>4</v>
      </c>
    </row>
    <row r="12" spans="2:71" ht="7.5" customHeight="1">
      <c r="B12" s="11"/>
      <c r="AQ12" s="12"/>
      <c r="BE12" s="217"/>
      <c r="BS12" s="7" t="s">
        <v>4</v>
      </c>
    </row>
    <row r="13" spans="2:71" ht="15" customHeight="1">
      <c r="B13" s="11"/>
      <c r="D13" s="18" t="s">
        <v>20</v>
      </c>
      <c r="AK13" s="18" t="s">
        <v>18</v>
      </c>
      <c r="AN13" s="171" t="s">
        <v>21</v>
      </c>
      <c r="AQ13" s="12"/>
      <c r="BE13" s="217"/>
      <c r="BS13" s="7" t="s">
        <v>4</v>
      </c>
    </row>
    <row r="14" spans="2:71" ht="15.75" customHeight="1">
      <c r="B14" s="11"/>
      <c r="E14" s="237" t="s">
        <v>21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18" t="s">
        <v>19</v>
      </c>
      <c r="AN14" s="171" t="s">
        <v>21</v>
      </c>
      <c r="AQ14" s="12"/>
      <c r="BE14" s="217"/>
      <c r="BS14" s="7" t="s">
        <v>4</v>
      </c>
    </row>
    <row r="15" spans="2:71" ht="7.5" customHeight="1">
      <c r="B15" s="11"/>
      <c r="AQ15" s="12"/>
      <c r="BE15" s="217"/>
      <c r="BS15" s="7" t="s">
        <v>2</v>
      </c>
    </row>
    <row r="16" spans="2:71" ht="15" customHeight="1">
      <c r="B16" s="11"/>
      <c r="D16" s="18" t="s">
        <v>22</v>
      </c>
      <c r="AK16" s="18" t="s">
        <v>18</v>
      </c>
      <c r="AN16" s="126" t="s">
        <v>137</v>
      </c>
      <c r="AQ16" s="12"/>
      <c r="BE16" s="217"/>
      <c r="BS16" s="7" t="s">
        <v>2</v>
      </c>
    </row>
    <row r="17" spans="2:71" ht="19.5" customHeight="1">
      <c r="B17" s="11"/>
      <c r="E17" s="212" t="s">
        <v>135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18" t="s">
        <v>19</v>
      </c>
      <c r="AN17" s="16" t="s">
        <v>136</v>
      </c>
      <c r="AQ17" s="12"/>
      <c r="BE17" s="217"/>
      <c r="BS17" s="7" t="s">
        <v>2</v>
      </c>
    </row>
    <row r="18" spans="2:71" ht="7.5" customHeight="1">
      <c r="B18" s="11"/>
      <c r="AQ18" s="12"/>
      <c r="BE18" s="217"/>
      <c r="BS18" s="7" t="s">
        <v>4</v>
      </c>
    </row>
    <row r="19" spans="2:71" ht="15" customHeight="1">
      <c r="B19" s="11"/>
      <c r="D19" s="18" t="s">
        <v>23</v>
      </c>
      <c r="AK19" s="18" t="s">
        <v>18</v>
      </c>
      <c r="AN19" s="126" t="s">
        <v>137</v>
      </c>
      <c r="AQ19" s="12"/>
      <c r="BE19" s="217"/>
      <c r="BS19" s="7" t="s">
        <v>4</v>
      </c>
    </row>
    <row r="20" spans="2:57" ht="19.5" customHeight="1">
      <c r="B20" s="11"/>
      <c r="E20" s="212" t="s">
        <v>135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18" t="s">
        <v>19</v>
      </c>
      <c r="AN20" s="16" t="s">
        <v>136</v>
      </c>
      <c r="AQ20" s="12"/>
      <c r="BE20" s="217"/>
    </row>
    <row r="21" spans="2:57" ht="7.5" customHeight="1">
      <c r="B21" s="11"/>
      <c r="AQ21" s="12"/>
      <c r="BE21" s="217"/>
    </row>
    <row r="22" spans="2:57" ht="7.5" customHeight="1">
      <c r="B22" s="1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2"/>
      <c r="BE22" s="217"/>
    </row>
    <row r="23" spans="2:57" ht="15" customHeight="1">
      <c r="B23" s="11"/>
      <c r="D23" s="20" t="s">
        <v>24</v>
      </c>
      <c r="AK23" s="239">
        <f>ROUND($AG$86,2)</f>
        <v>0</v>
      </c>
      <c r="AL23" s="217"/>
      <c r="AM23" s="217"/>
      <c r="AN23" s="217"/>
      <c r="AO23" s="217"/>
      <c r="AQ23" s="12"/>
      <c r="BE23" s="217"/>
    </row>
    <row r="24" spans="2:57" s="7" customFormat="1" ht="7.5" customHeight="1">
      <c r="B24" s="21"/>
      <c r="AQ24" s="22"/>
      <c r="BE24" s="211"/>
    </row>
    <row r="25" spans="2:57" s="7" customFormat="1" ht="27" customHeight="1">
      <c r="B25" s="21"/>
      <c r="D25" s="23" t="s">
        <v>25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34">
        <f>ROUND($AK$23,2)</f>
        <v>0</v>
      </c>
      <c r="AL25" s="235"/>
      <c r="AM25" s="235"/>
      <c r="AN25" s="235"/>
      <c r="AO25" s="235"/>
      <c r="AQ25" s="22"/>
      <c r="BE25" s="211"/>
    </row>
    <row r="26" spans="2:57" s="7" customFormat="1" ht="7.5" customHeight="1">
      <c r="B26" s="21"/>
      <c r="AQ26" s="22"/>
      <c r="BE26" s="211"/>
    </row>
    <row r="27" spans="2:57" s="7" customFormat="1" ht="15" customHeight="1">
      <c r="B27" s="25"/>
      <c r="D27" s="26" t="s">
        <v>26</v>
      </c>
      <c r="F27" s="26" t="s">
        <v>27</v>
      </c>
      <c r="L27" s="218">
        <v>0.21</v>
      </c>
      <c r="M27" s="219"/>
      <c r="N27" s="219"/>
      <c r="O27" s="219"/>
      <c r="T27" s="27" t="s">
        <v>28</v>
      </c>
      <c r="W27" s="220">
        <f>AK25</f>
        <v>0</v>
      </c>
      <c r="X27" s="219"/>
      <c r="Y27" s="219"/>
      <c r="Z27" s="219"/>
      <c r="AA27" s="219"/>
      <c r="AB27" s="219"/>
      <c r="AC27" s="219"/>
      <c r="AD27" s="219"/>
      <c r="AE27" s="219"/>
      <c r="AK27" s="220">
        <f>L27*W27</f>
        <v>0</v>
      </c>
      <c r="AL27" s="219"/>
      <c r="AM27" s="219"/>
      <c r="AN27" s="219"/>
      <c r="AO27" s="219"/>
      <c r="AQ27" s="28"/>
      <c r="BE27" s="219"/>
    </row>
    <row r="28" spans="2:57" s="7" customFormat="1" ht="15" customHeight="1">
      <c r="B28" s="25"/>
      <c r="F28" s="26" t="s">
        <v>29</v>
      </c>
      <c r="L28" s="218">
        <v>0.15</v>
      </c>
      <c r="M28" s="219"/>
      <c r="N28" s="219"/>
      <c r="O28" s="219"/>
      <c r="T28" s="27" t="s">
        <v>28</v>
      </c>
      <c r="W28" s="220">
        <v>0</v>
      </c>
      <c r="X28" s="219"/>
      <c r="Y28" s="219"/>
      <c r="Z28" s="219"/>
      <c r="AA28" s="219"/>
      <c r="AB28" s="219"/>
      <c r="AC28" s="219"/>
      <c r="AD28" s="219"/>
      <c r="AE28" s="219"/>
      <c r="AK28" s="220">
        <v>0</v>
      </c>
      <c r="AL28" s="219"/>
      <c r="AM28" s="219"/>
      <c r="AN28" s="219"/>
      <c r="AO28" s="219"/>
      <c r="AQ28" s="28"/>
      <c r="BE28" s="219"/>
    </row>
    <row r="29" spans="2:57" s="7" customFormat="1" ht="15" customHeight="1" hidden="1">
      <c r="B29" s="25"/>
      <c r="F29" s="26" t="s">
        <v>30</v>
      </c>
      <c r="L29" s="218">
        <v>0.21</v>
      </c>
      <c r="M29" s="219"/>
      <c r="N29" s="219"/>
      <c r="O29" s="219"/>
      <c r="T29" s="27" t="s">
        <v>28</v>
      </c>
      <c r="W29" s="220" t="e">
        <f>ROUND($BQ$86+SUM($CF$95:$CF$98),2)</f>
        <v>#REF!</v>
      </c>
      <c r="X29" s="219"/>
      <c r="Y29" s="219"/>
      <c r="Z29" s="219"/>
      <c r="AA29" s="219"/>
      <c r="AB29" s="219"/>
      <c r="AC29" s="219"/>
      <c r="AD29" s="219"/>
      <c r="AE29" s="219"/>
      <c r="AK29" s="220">
        <v>0</v>
      </c>
      <c r="AL29" s="219"/>
      <c r="AM29" s="219"/>
      <c r="AN29" s="219"/>
      <c r="AO29" s="219"/>
      <c r="AQ29" s="28"/>
      <c r="BE29" s="219"/>
    </row>
    <row r="30" spans="2:57" s="7" customFormat="1" ht="15" customHeight="1" hidden="1">
      <c r="B30" s="25"/>
      <c r="F30" s="26" t="s">
        <v>31</v>
      </c>
      <c r="L30" s="218">
        <v>0.15</v>
      </c>
      <c r="M30" s="219"/>
      <c r="N30" s="219"/>
      <c r="O30" s="219"/>
      <c r="T30" s="27" t="s">
        <v>28</v>
      </c>
      <c r="W30" s="220" t="e">
        <f>ROUND($BR$86+SUM($CG$95:$CG$98),2)</f>
        <v>#REF!</v>
      </c>
      <c r="X30" s="219"/>
      <c r="Y30" s="219"/>
      <c r="Z30" s="219"/>
      <c r="AA30" s="219"/>
      <c r="AB30" s="219"/>
      <c r="AC30" s="219"/>
      <c r="AD30" s="219"/>
      <c r="AE30" s="219"/>
      <c r="AK30" s="220">
        <v>0</v>
      </c>
      <c r="AL30" s="219"/>
      <c r="AM30" s="219"/>
      <c r="AN30" s="219"/>
      <c r="AO30" s="219"/>
      <c r="AQ30" s="28"/>
      <c r="BE30" s="219"/>
    </row>
    <row r="31" spans="2:57" s="7" customFormat="1" ht="15" customHeight="1" hidden="1">
      <c r="B31" s="25"/>
      <c r="F31" s="26" t="s">
        <v>32</v>
      </c>
      <c r="L31" s="218">
        <v>0</v>
      </c>
      <c r="M31" s="219"/>
      <c r="N31" s="219"/>
      <c r="O31" s="219"/>
      <c r="T31" s="27" t="s">
        <v>28</v>
      </c>
      <c r="W31" s="220" t="e">
        <f>ROUND($BS$86+SUM($CH$95:$CH$98),2)</f>
        <v>#REF!</v>
      </c>
      <c r="X31" s="219"/>
      <c r="Y31" s="219"/>
      <c r="Z31" s="219"/>
      <c r="AA31" s="219"/>
      <c r="AB31" s="219"/>
      <c r="AC31" s="219"/>
      <c r="AD31" s="219"/>
      <c r="AE31" s="219"/>
      <c r="AK31" s="220">
        <v>0</v>
      </c>
      <c r="AL31" s="219"/>
      <c r="AM31" s="219"/>
      <c r="AN31" s="219"/>
      <c r="AO31" s="219"/>
      <c r="AQ31" s="28"/>
      <c r="BE31" s="219"/>
    </row>
    <row r="32" spans="2:57" s="7" customFormat="1" ht="7.5" customHeight="1">
      <c r="B32" s="21"/>
      <c r="AQ32" s="22"/>
      <c r="BE32" s="211"/>
    </row>
    <row r="33" spans="2:57" s="7" customFormat="1" ht="27" customHeight="1">
      <c r="B33" s="21"/>
      <c r="C33" s="29"/>
      <c r="D33" s="30" t="s">
        <v>33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 t="s">
        <v>34</v>
      </c>
      <c r="U33" s="31"/>
      <c r="V33" s="31"/>
      <c r="W33" s="31"/>
      <c r="X33" s="229" t="s">
        <v>35</v>
      </c>
      <c r="Y33" s="204"/>
      <c r="Z33" s="204"/>
      <c r="AA33" s="204"/>
      <c r="AB33" s="204"/>
      <c r="AC33" s="31"/>
      <c r="AD33" s="31"/>
      <c r="AE33" s="31"/>
      <c r="AF33" s="31"/>
      <c r="AG33" s="31"/>
      <c r="AH33" s="31"/>
      <c r="AI33" s="31"/>
      <c r="AJ33" s="31"/>
      <c r="AK33" s="230">
        <f>ROUND(SUM($AK$25:$AK$31),2)</f>
        <v>0</v>
      </c>
      <c r="AL33" s="204"/>
      <c r="AM33" s="204"/>
      <c r="AN33" s="204"/>
      <c r="AO33" s="215"/>
      <c r="AP33" s="29"/>
      <c r="AQ33" s="22"/>
      <c r="BE33" s="211"/>
    </row>
    <row r="34" spans="2:43" s="7" customFormat="1" ht="15" customHeight="1">
      <c r="B34" s="21"/>
      <c r="D34" s="232" t="s">
        <v>236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Q34" s="22"/>
    </row>
    <row r="35" spans="2:43" ht="14.25" customHeight="1">
      <c r="B35" s="11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Q35" s="12"/>
    </row>
    <row r="36" spans="2:43" ht="14.25" customHeight="1">
      <c r="B36" s="11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Q36" s="12"/>
    </row>
    <row r="37" spans="2:43" ht="14.25" customHeight="1">
      <c r="B37" s="11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Q37" s="12"/>
    </row>
    <row r="38" spans="2:43" ht="14.25" customHeight="1">
      <c r="B38" s="11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Q38" s="12"/>
    </row>
    <row r="39" spans="2:43" ht="14.25" customHeight="1">
      <c r="B39" s="11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Q39" s="12"/>
    </row>
    <row r="40" spans="2:43" ht="14.25" customHeight="1">
      <c r="B40" s="11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Q40" s="12"/>
    </row>
    <row r="41" spans="2:43" ht="14.25" customHeight="1">
      <c r="B41" s="11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Q41" s="12"/>
    </row>
    <row r="42" spans="2:43" ht="14.25" customHeight="1">
      <c r="B42" s="11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Q42" s="12"/>
    </row>
    <row r="43" spans="2:43" ht="14.25" customHeight="1">
      <c r="B43" s="11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Q43" s="12"/>
    </row>
    <row r="44" spans="2:43" ht="14.25" customHeight="1">
      <c r="B44" s="11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Q44" s="12"/>
    </row>
    <row r="45" spans="2:43" ht="14.25" customHeight="1">
      <c r="B45" s="11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Q45" s="12"/>
    </row>
    <row r="46" spans="2:43" ht="14.25" customHeight="1">
      <c r="B46" s="11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Q46" s="12"/>
    </row>
    <row r="47" spans="2:43" ht="14.25" customHeight="1">
      <c r="B47" s="11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Q47" s="12"/>
    </row>
    <row r="48" spans="2:43" s="7" customFormat="1" ht="15.75" customHeight="1">
      <c r="B48" s="21"/>
      <c r="D48" s="33" t="s">
        <v>36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C48" s="33" t="s">
        <v>37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5"/>
      <c r="AQ48" s="22"/>
    </row>
    <row r="49" spans="2:43" ht="14.25" customHeight="1">
      <c r="B49" s="11"/>
      <c r="D49" s="36"/>
      <c r="Z49" s="37"/>
      <c r="AC49" s="36"/>
      <c r="AO49" s="37"/>
      <c r="AQ49" s="12"/>
    </row>
    <row r="50" spans="2:43" ht="14.25" customHeight="1">
      <c r="B50" s="11"/>
      <c r="D50" s="36"/>
      <c r="Z50" s="37"/>
      <c r="AC50" s="36"/>
      <c r="AO50" s="37"/>
      <c r="AQ50" s="12"/>
    </row>
    <row r="51" spans="2:43" ht="14.25" customHeight="1">
      <c r="B51" s="11"/>
      <c r="D51" s="36"/>
      <c r="Z51" s="37"/>
      <c r="AC51" s="36"/>
      <c r="AO51" s="37"/>
      <c r="AQ51" s="12"/>
    </row>
    <row r="52" spans="2:43" ht="14.25" customHeight="1">
      <c r="B52" s="11"/>
      <c r="D52" s="36"/>
      <c r="Z52" s="37"/>
      <c r="AC52" s="36"/>
      <c r="AO52" s="37"/>
      <c r="AQ52" s="12"/>
    </row>
    <row r="53" spans="2:43" ht="14.25" customHeight="1">
      <c r="B53" s="11"/>
      <c r="D53" s="36"/>
      <c r="Z53" s="37"/>
      <c r="AC53" s="36"/>
      <c r="AO53" s="37"/>
      <c r="AQ53" s="12"/>
    </row>
    <row r="54" spans="2:43" ht="14.25" customHeight="1">
      <c r="B54" s="11"/>
      <c r="D54" s="36"/>
      <c r="Z54" s="37"/>
      <c r="AC54" s="36"/>
      <c r="AO54" s="37"/>
      <c r="AQ54" s="12"/>
    </row>
    <row r="55" spans="2:43" ht="14.25" customHeight="1">
      <c r="B55" s="11"/>
      <c r="D55" s="36"/>
      <c r="Z55" s="37"/>
      <c r="AC55" s="36"/>
      <c r="AO55" s="37"/>
      <c r="AQ55" s="12"/>
    </row>
    <row r="56" spans="2:43" ht="14.25" customHeight="1">
      <c r="B56" s="11"/>
      <c r="D56" s="36"/>
      <c r="Z56" s="37"/>
      <c r="AC56" s="36"/>
      <c r="AO56" s="37"/>
      <c r="AQ56" s="12"/>
    </row>
    <row r="57" spans="2:43" s="7" customFormat="1" ht="15.75" customHeight="1">
      <c r="B57" s="21"/>
      <c r="D57" s="38" t="s">
        <v>38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 t="s">
        <v>39</v>
      </c>
      <c r="S57" s="39"/>
      <c r="T57" s="39"/>
      <c r="U57" s="39"/>
      <c r="V57" s="39"/>
      <c r="W57" s="39"/>
      <c r="X57" s="39"/>
      <c r="Y57" s="39"/>
      <c r="Z57" s="41"/>
      <c r="AC57" s="38" t="s">
        <v>38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40" t="s">
        <v>39</v>
      </c>
      <c r="AN57" s="39"/>
      <c r="AO57" s="41"/>
      <c r="AQ57" s="22"/>
    </row>
    <row r="58" spans="2:43" ht="14.25" customHeight="1">
      <c r="B58" s="11"/>
      <c r="AQ58" s="12"/>
    </row>
    <row r="59" spans="2:43" s="7" customFormat="1" ht="15.75" customHeight="1">
      <c r="B59" s="21"/>
      <c r="D59" s="33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C59" s="33" t="s">
        <v>41</v>
      </c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5"/>
      <c r="AQ59" s="22"/>
    </row>
    <row r="60" spans="2:43" ht="14.25" customHeight="1">
      <c r="B60" s="11"/>
      <c r="D60" s="36"/>
      <c r="Z60" s="37"/>
      <c r="AC60" s="36"/>
      <c r="AO60" s="37"/>
      <c r="AQ60" s="12"/>
    </row>
    <row r="61" spans="2:43" ht="14.25" customHeight="1">
      <c r="B61" s="11"/>
      <c r="D61" s="36"/>
      <c r="Z61" s="37"/>
      <c r="AC61" s="36"/>
      <c r="AO61" s="37"/>
      <c r="AQ61" s="12"/>
    </row>
    <row r="62" spans="2:43" ht="14.25" customHeight="1">
      <c r="B62" s="11"/>
      <c r="D62" s="36"/>
      <c r="Z62" s="37"/>
      <c r="AC62" s="36"/>
      <c r="AO62" s="37"/>
      <c r="AQ62" s="12"/>
    </row>
    <row r="63" spans="2:43" ht="14.25" customHeight="1">
      <c r="B63" s="11"/>
      <c r="D63" s="36"/>
      <c r="Z63" s="37"/>
      <c r="AC63" s="36"/>
      <c r="AO63" s="37"/>
      <c r="AQ63" s="12"/>
    </row>
    <row r="64" spans="2:43" ht="14.25" customHeight="1">
      <c r="B64" s="11"/>
      <c r="D64" s="36"/>
      <c r="Z64" s="37"/>
      <c r="AC64" s="36"/>
      <c r="AO64" s="37"/>
      <c r="AQ64" s="12"/>
    </row>
    <row r="65" spans="2:43" ht="14.25" customHeight="1">
      <c r="B65" s="11"/>
      <c r="D65" s="36"/>
      <c r="Z65" s="37"/>
      <c r="AC65" s="36"/>
      <c r="AO65" s="37"/>
      <c r="AQ65" s="12"/>
    </row>
    <row r="66" spans="2:43" ht="14.25" customHeight="1">
      <c r="B66" s="11"/>
      <c r="D66" s="36"/>
      <c r="Z66" s="37"/>
      <c r="AC66" s="36"/>
      <c r="AO66" s="37"/>
      <c r="AQ66" s="12"/>
    </row>
    <row r="67" spans="2:43" ht="14.25" customHeight="1">
      <c r="B67" s="11"/>
      <c r="D67" s="36"/>
      <c r="Z67" s="37"/>
      <c r="AC67" s="36"/>
      <c r="AO67" s="37"/>
      <c r="AQ67" s="12"/>
    </row>
    <row r="68" spans="2:43" s="7" customFormat="1" ht="15.75" customHeight="1">
      <c r="B68" s="21"/>
      <c r="D68" s="38" t="s">
        <v>38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 t="s">
        <v>39</v>
      </c>
      <c r="S68" s="39"/>
      <c r="T68" s="39"/>
      <c r="U68" s="39"/>
      <c r="V68" s="39"/>
      <c r="W68" s="39"/>
      <c r="X68" s="39"/>
      <c r="Y68" s="39"/>
      <c r="Z68" s="41"/>
      <c r="AC68" s="38" t="s">
        <v>38</v>
      </c>
      <c r="AD68" s="39"/>
      <c r="AE68" s="39"/>
      <c r="AF68" s="39"/>
      <c r="AG68" s="39"/>
      <c r="AH68" s="39"/>
      <c r="AI68" s="39"/>
      <c r="AJ68" s="39"/>
      <c r="AK68" s="39"/>
      <c r="AL68" s="39"/>
      <c r="AM68" s="40" t="s">
        <v>39</v>
      </c>
      <c r="AN68" s="39"/>
      <c r="AO68" s="41"/>
      <c r="AQ68" s="22"/>
    </row>
    <row r="69" spans="2:43" s="7" customFormat="1" ht="7.5" customHeight="1">
      <c r="B69" s="21"/>
      <c r="AQ69" s="22"/>
    </row>
    <row r="70" spans="2:43" s="7" customFormat="1" ht="7.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4"/>
    </row>
    <row r="74" spans="2:43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7"/>
    </row>
    <row r="75" spans="2:43" s="7" customFormat="1" ht="37.5" customHeight="1">
      <c r="B75" s="21"/>
      <c r="C75" s="231" t="s">
        <v>42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2"/>
    </row>
    <row r="76" spans="2:43" s="16" customFormat="1" ht="15" customHeight="1">
      <c r="B76" s="48"/>
      <c r="C76" s="18" t="s">
        <v>11</v>
      </c>
      <c r="L76" s="16" t="str">
        <f>$K$5</f>
        <v>-</v>
      </c>
      <c r="AQ76" s="49"/>
    </row>
    <row r="77" spans="2:43" s="50" customFormat="1" ht="37.5" customHeight="1">
      <c r="B77" s="51"/>
      <c r="C77" s="50" t="s">
        <v>12</v>
      </c>
      <c r="L77" s="210" t="str">
        <f>$K$6</f>
        <v>Instalace nové fotovoltaické elektrárny s výkonem 4 257,54 kWp v areálu Potěhy společnosti ČEPRO, a.s.</v>
      </c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Q77" s="52"/>
    </row>
    <row r="78" spans="2:43" s="7" customFormat="1" ht="7.5" customHeight="1">
      <c r="B78" s="21"/>
      <c r="AQ78" s="22"/>
    </row>
    <row r="79" spans="2:43" s="7" customFormat="1" ht="28.5" customHeight="1">
      <c r="B79" s="21"/>
      <c r="C79" s="18" t="s">
        <v>15</v>
      </c>
      <c r="L79" s="214" t="str">
        <f>IF($K$8="","",$K$8)</f>
        <v>Potěhy</v>
      </c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I79" s="18" t="s">
        <v>16</v>
      </c>
      <c r="AM79" s="213">
        <f ca="1">IF($AN$8="","",$AN$8)</f>
        <v>45268</v>
      </c>
      <c r="AN79" s="213"/>
      <c r="AQ79" s="22"/>
    </row>
    <row r="80" spans="2:43" s="7" customFormat="1" ht="7.5" customHeight="1">
      <c r="B80" s="21"/>
      <c r="AQ80" s="22"/>
    </row>
    <row r="81" spans="2:71" s="7" customFormat="1" ht="18.75" customHeight="1">
      <c r="B81" s="21"/>
      <c r="C81" s="18" t="s">
        <v>17</v>
      </c>
      <c r="L81" s="16" t="str">
        <f>IF($E$11="","",$E$11)</f>
        <v>ČEPRO, a.s.</v>
      </c>
      <c r="AI81" s="18" t="s">
        <v>22</v>
      </c>
      <c r="AM81" s="212" t="str">
        <f>IF($E$17="","",$E$17)</f>
        <v>YOUNG4ENERGY s.r.o.</v>
      </c>
      <c r="AN81" s="211"/>
      <c r="AO81" s="211"/>
      <c r="AP81" s="211"/>
      <c r="AQ81" s="22"/>
      <c r="BH81" s="221" t="s">
        <v>43</v>
      </c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35"/>
    </row>
    <row r="82" spans="2:71" s="7" customFormat="1" ht="15.75" customHeight="1">
      <c r="B82" s="21"/>
      <c r="C82" s="18" t="s">
        <v>20</v>
      </c>
      <c r="L82" s="16" t="str">
        <f>IF($E$14="Vyplň údaj","",$E$14)</f>
        <v/>
      </c>
      <c r="AI82" s="18" t="s">
        <v>23</v>
      </c>
      <c r="AM82" s="212" t="str">
        <f>IF($E$20="","",$E$20)</f>
        <v>YOUNG4ENERGY s.r.o.</v>
      </c>
      <c r="AN82" s="211"/>
      <c r="AO82" s="211"/>
      <c r="AP82" s="211"/>
      <c r="AQ82" s="22"/>
      <c r="BH82" s="223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53"/>
    </row>
    <row r="83" spans="2:71" s="7" customFormat="1" ht="12" customHeight="1">
      <c r="B83" s="21"/>
      <c r="AQ83" s="22"/>
      <c r="BH83" s="225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53"/>
    </row>
    <row r="84" spans="2:71" s="7" customFormat="1" ht="30" customHeight="1">
      <c r="B84" s="21"/>
      <c r="C84" s="203" t="s">
        <v>44</v>
      </c>
      <c r="D84" s="204"/>
      <c r="E84" s="204"/>
      <c r="F84" s="204"/>
      <c r="G84" s="204"/>
      <c r="H84" s="31"/>
      <c r="I84" s="205" t="s">
        <v>45</v>
      </c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5" t="s">
        <v>46</v>
      </c>
      <c r="AH84" s="204"/>
      <c r="AI84" s="204"/>
      <c r="AJ84" s="204"/>
      <c r="AK84" s="204"/>
      <c r="AL84" s="204"/>
      <c r="AM84" s="204"/>
      <c r="AN84" s="205" t="s">
        <v>47</v>
      </c>
      <c r="AO84" s="204"/>
      <c r="AP84" s="215"/>
      <c r="AQ84" s="22"/>
      <c r="BH84" s="54" t="s">
        <v>48</v>
      </c>
      <c r="BI84" s="55" t="s">
        <v>49</v>
      </c>
      <c r="BJ84" s="55" t="s">
        <v>50</v>
      </c>
      <c r="BK84" s="55" t="s">
        <v>51</v>
      </c>
      <c r="BL84" s="55" t="s">
        <v>52</v>
      </c>
      <c r="BM84" s="55" t="s">
        <v>53</v>
      </c>
      <c r="BN84" s="55" t="s">
        <v>54</v>
      </c>
      <c r="BO84" s="55" t="s">
        <v>55</v>
      </c>
      <c r="BP84" s="55" t="s">
        <v>56</v>
      </c>
      <c r="BQ84" s="55" t="s">
        <v>57</v>
      </c>
      <c r="BR84" s="55" t="s">
        <v>58</v>
      </c>
      <c r="BS84" s="56" t="s">
        <v>59</v>
      </c>
    </row>
    <row r="85" spans="2:71" s="7" customFormat="1" ht="12" customHeight="1">
      <c r="B85" s="21"/>
      <c r="AQ85" s="22"/>
      <c r="BE85" s="125"/>
      <c r="BH85" s="57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5"/>
    </row>
    <row r="86" spans="2:76" s="50" customFormat="1" ht="33" customHeight="1">
      <c r="B86" s="51"/>
      <c r="C86" s="58" t="s">
        <v>60</v>
      </c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206">
        <f>ROUND(SUM(AL87:AM94),2)</f>
        <v>0</v>
      </c>
      <c r="AH86" s="207"/>
      <c r="AI86" s="207"/>
      <c r="AJ86" s="207"/>
      <c r="AK86" s="207"/>
      <c r="AL86" s="207"/>
      <c r="AM86" s="207"/>
      <c r="AN86" s="206">
        <f>ROUND(SUM(AN87:AP94),2)</f>
        <v>0</v>
      </c>
      <c r="AO86" s="207"/>
      <c r="AP86" s="207"/>
      <c r="AQ86" s="52"/>
      <c r="BE86" s="124"/>
      <c r="BH86" s="59" t="e">
        <f>ROUND($BH$87+#REF!+#REF!+#REF!+#REF!,2)</f>
        <v>#REF!</v>
      </c>
      <c r="BI86" s="60" t="e">
        <f>ROUND(SUM($BK$86:$BL$86),2)</f>
        <v>#REF!</v>
      </c>
      <c r="BJ86" s="61" t="e">
        <f>ROUND($BJ$87+#REF!+#REF!+#REF!+#REF!,5)</f>
        <v>#REF!</v>
      </c>
      <c r="BK86" s="60" t="e">
        <f>ROUND($BO$86*$L$27,2)</f>
        <v>#REF!</v>
      </c>
      <c r="BL86" s="60" t="e">
        <f>ROUND($BP$86*$L$28,2)</f>
        <v>#REF!</v>
      </c>
      <c r="BM86" s="60" t="e">
        <f>ROUND($BQ$86*$L$27,2)</f>
        <v>#REF!</v>
      </c>
      <c r="BN86" s="60" t="e">
        <f>ROUND($BR$86*$L$28,2)</f>
        <v>#REF!</v>
      </c>
      <c r="BO86" s="60" t="e">
        <f>ROUND($BO$87+#REF!+#REF!+#REF!+#REF!,2)</f>
        <v>#REF!</v>
      </c>
      <c r="BP86" s="60" t="e">
        <f>ROUND($BP$87+#REF!+#REF!+#REF!+#REF!,2)</f>
        <v>#REF!</v>
      </c>
      <c r="BQ86" s="60" t="e">
        <f>ROUND($BQ$87+#REF!+#REF!+#REF!+#REF!,2)</f>
        <v>#REF!</v>
      </c>
      <c r="BR86" s="60" t="e">
        <f>ROUND($BR$87+#REF!+#REF!+#REF!+#REF!,2)</f>
        <v>#REF!</v>
      </c>
      <c r="BS86" s="62" t="e">
        <f>ROUND($BS$87+#REF!+#REF!+#REF!+#REF!,2)</f>
        <v>#REF!</v>
      </c>
      <c r="BT86" s="50" t="s">
        <v>62</v>
      </c>
      <c r="BU86" s="63" t="s">
        <v>63</v>
      </c>
      <c r="BV86" s="50" t="s">
        <v>64</v>
      </c>
      <c r="BW86" s="50" t="s">
        <v>65</v>
      </c>
      <c r="BX86" s="50" t="s">
        <v>66</v>
      </c>
    </row>
    <row r="87" spans="1:76" s="64" customFormat="1" ht="42.75" customHeight="1">
      <c r="A87" s="118"/>
      <c r="B87" s="65"/>
      <c r="C87" s="66"/>
      <c r="D87" s="199" t="s">
        <v>140</v>
      </c>
      <c r="E87" s="200"/>
      <c r="F87" s="200"/>
      <c r="G87" s="200"/>
      <c r="H87" s="200"/>
      <c r="I87" s="66"/>
      <c r="J87" s="202" t="s">
        <v>237</v>
      </c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105"/>
      <c r="AL87" s="201">
        <f>SO01!M27</f>
        <v>0</v>
      </c>
      <c r="AM87" s="201"/>
      <c r="AN87" s="201">
        <f>SO01!L35</f>
        <v>0</v>
      </c>
      <c r="AO87" s="209"/>
      <c r="AP87" s="209"/>
      <c r="AQ87" s="67"/>
      <c r="BE87" s="123"/>
      <c r="BH87" s="68" t="e">
        <f>ROUND(SUM(#REF!),2)</f>
        <v>#REF!</v>
      </c>
      <c r="BI87" s="69" t="e">
        <f>ROUND(SUM($BK$87:$BL$87),2)</f>
        <v>#REF!</v>
      </c>
      <c r="BJ87" s="70" t="e">
        <f>ROUND(SUM(#REF!),5)</f>
        <v>#REF!</v>
      </c>
      <c r="BK87" s="69" t="e">
        <f>ROUND($BO$87*$L$27,2)</f>
        <v>#REF!</v>
      </c>
      <c r="BL87" s="69" t="e">
        <f>ROUND($BP$87*$L$28,2)</f>
        <v>#REF!</v>
      </c>
      <c r="BM87" s="69" t="e">
        <f>ROUND($BQ$87*$L$27,2)</f>
        <v>#REF!</v>
      </c>
      <c r="BN87" s="69" t="e">
        <f>ROUND($BR$87*$L$28,2)</f>
        <v>#REF!</v>
      </c>
      <c r="BO87" s="69" t="e">
        <f>ROUND(SUM(#REF!),2)</f>
        <v>#REF!</v>
      </c>
      <c r="BP87" s="69" t="e">
        <f>ROUND(SUM(#REF!),2)</f>
        <v>#REF!</v>
      </c>
      <c r="BQ87" s="69" t="e">
        <f>ROUND(SUM(#REF!),2)</f>
        <v>#REF!</v>
      </c>
      <c r="BR87" s="69" t="e">
        <f>ROUND(SUM(#REF!),2)</f>
        <v>#REF!</v>
      </c>
      <c r="BS87" s="71" t="e">
        <f>ROUND(SUM(#REF!),2)</f>
        <v>#REF!</v>
      </c>
      <c r="BT87" s="64" t="s">
        <v>67</v>
      </c>
      <c r="BU87" s="64" t="s">
        <v>63</v>
      </c>
      <c r="BV87" s="64" t="s">
        <v>64</v>
      </c>
      <c r="BW87" s="64" t="s">
        <v>68</v>
      </c>
      <c r="BX87" s="64" t="s">
        <v>65</v>
      </c>
    </row>
    <row r="88" spans="1:90" s="75" customFormat="1" ht="42.75" customHeight="1">
      <c r="A88" s="118"/>
      <c r="B88" s="72"/>
      <c r="C88" s="73"/>
      <c r="D88" s="199" t="s">
        <v>155</v>
      </c>
      <c r="E88" s="200"/>
      <c r="F88" s="200"/>
      <c r="G88" s="200"/>
      <c r="H88" s="200"/>
      <c r="I88" s="66"/>
      <c r="J88" s="202" t="s">
        <v>247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105"/>
      <c r="AL88" s="201">
        <f>SO02!M27</f>
        <v>0</v>
      </c>
      <c r="AM88" s="201"/>
      <c r="AN88" s="201">
        <f>SO02!L35</f>
        <v>0</v>
      </c>
      <c r="AO88" s="209"/>
      <c r="AP88" s="209"/>
      <c r="AQ88" s="74"/>
      <c r="BG88" s="64"/>
      <c r="BH88" s="76"/>
      <c r="BI88" s="77"/>
      <c r="BJ88" s="78"/>
      <c r="BK88" s="77"/>
      <c r="BL88" s="77"/>
      <c r="BM88" s="77"/>
      <c r="BN88" s="77"/>
      <c r="BO88" s="77"/>
      <c r="BP88" s="77"/>
      <c r="BQ88" s="77"/>
      <c r="BR88" s="77"/>
      <c r="BS88" s="71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</row>
    <row r="89" spans="1:90" s="75" customFormat="1" ht="40.5" customHeight="1">
      <c r="A89" s="118"/>
      <c r="B89" s="65"/>
      <c r="C89" s="66"/>
      <c r="D89" s="199" t="s">
        <v>114</v>
      </c>
      <c r="E89" s="200"/>
      <c r="F89" s="200"/>
      <c r="G89" s="200"/>
      <c r="H89" s="200"/>
      <c r="I89" s="66"/>
      <c r="J89" s="202" t="s">
        <v>170</v>
      </c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105"/>
      <c r="AL89" s="201">
        <f>SO03!M27</f>
        <v>0</v>
      </c>
      <c r="AM89" s="201"/>
      <c r="AN89" s="201">
        <f>SO03!L35</f>
        <v>0</v>
      </c>
      <c r="AO89" s="209"/>
      <c r="AP89" s="209"/>
      <c r="AQ89" s="22"/>
      <c r="AR89" s="7"/>
      <c r="BG89" s="64"/>
      <c r="BH89" s="76"/>
      <c r="BI89" s="77"/>
      <c r="BJ89" s="78"/>
      <c r="BK89" s="77"/>
      <c r="BL89" s="77"/>
      <c r="BM89" s="77"/>
      <c r="BN89" s="77"/>
      <c r="BO89" s="77"/>
      <c r="BP89" s="77"/>
      <c r="BQ89" s="77"/>
      <c r="BR89" s="77"/>
      <c r="BS89" s="71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</row>
    <row r="90" spans="1:90" s="75" customFormat="1" ht="40.5" customHeight="1">
      <c r="A90" s="118"/>
      <c r="B90" s="65"/>
      <c r="C90" s="66"/>
      <c r="D90" s="199" t="s">
        <v>164</v>
      </c>
      <c r="E90" s="200"/>
      <c r="F90" s="200"/>
      <c r="G90" s="200"/>
      <c r="H90" s="200"/>
      <c r="I90" s="66"/>
      <c r="J90" s="202" t="s">
        <v>174</v>
      </c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105"/>
      <c r="AL90" s="201">
        <f>SO04!M27</f>
        <v>0</v>
      </c>
      <c r="AM90" s="201"/>
      <c r="AN90" s="201">
        <f>SO04!L35</f>
        <v>0</v>
      </c>
      <c r="AO90" s="209"/>
      <c r="AP90" s="209"/>
      <c r="AQ90" s="22"/>
      <c r="AR90" s="7"/>
      <c r="BG90" s="64"/>
      <c r="BH90" s="76"/>
      <c r="BI90" s="77"/>
      <c r="BJ90" s="78"/>
      <c r="BK90" s="77"/>
      <c r="BL90" s="77"/>
      <c r="BM90" s="77"/>
      <c r="BN90" s="77"/>
      <c r="BO90" s="77"/>
      <c r="BP90" s="77"/>
      <c r="BQ90" s="77"/>
      <c r="BR90" s="77"/>
      <c r="BS90" s="71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</row>
    <row r="91" spans="1:90" s="75" customFormat="1" ht="40.5" customHeight="1">
      <c r="A91" s="118"/>
      <c r="B91" s="65"/>
      <c r="C91" s="66"/>
      <c r="D91" s="199" t="s">
        <v>171</v>
      </c>
      <c r="E91" s="200"/>
      <c r="F91" s="200"/>
      <c r="G91" s="200"/>
      <c r="H91" s="200"/>
      <c r="I91" s="66"/>
      <c r="J91" s="202" t="s">
        <v>175</v>
      </c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105"/>
      <c r="AL91" s="201">
        <f>'IO01'!M27</f>
        <v>0</v>
      </c>
      <c r="AM91" s="201"/>
      <c r="AN91" s="201">
        <f>'IO01'!L35</f>
        <v>0</v>
      </c>
      <c r="AO91" s="209"/>
      <c r="AP91" s="209"/>
      <c r="AQ91" s="22"/>
      <c r="AR91" s="7"/>
      <c r="BG91" s="64"/>
      <c r="BH91" s="76"/>
      <c r="BI91" s="77"/>
      <c r="BJ91" s="78"/>
      <c r="BK91" s="77"/>
      <c r="BL91" s="77"/>
      <c r="BM91" s="77"/>
      <c r="BN91" s="77"/>
      <c r="BO91" s="77"/>
      <c r="BP91" s="77"/>
      <c r="BQ91" s="77"/>
      <c r="BR91" s="77"/>
      <c r="BS91" s="71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</row>
    <row r="92" spans="1:90" s="75" customFormat="1" ht="40.5" customHeight="1">
      <c r="A92" s="118"/>
      <c r="B92" s="65"/>
      <c r="C92" s="66"/>
      <c r="D92" s="199" t="s">
        <v>172</v>
      </c>
      <c r="E92" s="200"/>
      <c r="F92" s="200"/>
      <c r="G92" s="200"/>
      <c r="H92" s="200"/>
      <c r="I92" s="66"/>
      <c r="J92" s="202" t="s">
        <v>176</v>
      </c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105"/>
      <c r="AL92" s="201">
        <f>'IO02'!M25</f>
        <v>0</v>
      </c>
      <c r="AM92" s="201"/>
      <c r="AN92" s="201">
        <f>'IO02'!L35</f>
        <v>0</v>
      </c>
      <c r="AO92" s="209"/>
      <c r="AP92" s="209"/>
      <c r="AQ92" s="22"/>
      <c r="AR92" s="7"/>
      <c r="BG92" s="64"/>
      <c r="BH92" s="76"/>
      <c r="BI92" s="77"/>
      <c r="BJ92" s="78"/>
      <c r="BK92" s="77"/>
      <c r="BL92" s="77"/>
      <c r="BM92" s="77"/>
      <c r="BN92" s="77"/>
      <c r="BO92" s="77"/>
      <c r="BP92" s="77"/>
      <c r="BQ92" s="77"/>
      <c r="BR92" s="77"/>
      <c r="BS92" s="71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</row>
    <row r="93" spans="1:90" s="75" customFormat="1" ht="40.5" customHeight="1">
      <c r="A93" s="118"/>
      <c r="B93" s="65"/>
      <c r="C93" s="66"/>
      <c r="D93" s="199" t="s">
        <v>173</v>
      </c>
      <c r="E93" s="200"/>
      <c r="F93" s="200"/>
      <c r="G93" s="200"/>
      <c r="H93" s="200"/>
      <c r="I93" s="66"/>
      <c r="J93" s="202" t="s">
        <v>177</v>
      </c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105"/>
      <c r="AL93" s="201">
        <f>'IO03'!M27</f>
        <v>0</v>
      </c>
      <c r="AM93" s="201"/>
      <c r="AN93" s="201">
        <f>'IO03'!L35</f>
        <v>0</v>
      </c>
      <c r="AO93" s="209"/>
      <c r="AP93" s="209"/>
      <c r="AQ93" s="22"/>
      <c r="AR93" s="7"/>
      <c r="BG93" s="64"/>
      <c r="BH93" s="76"/>
      <c r="BI93" s="77"/>
      <c r="BJ93" s="78"/>
      <c r="BK93" s="77"/>
      <c r="BL93" s="77"/>
      <c r="BM93" s="77"/>
      <c r="BN93" s="77"/>
      <c r="BO93" s="77"/>
      <c r="BP93" s="77"/>
      <c r="BQ93" s="77"/>
      <c r="BR93" s="77"/>
      <c r="BS93" s="71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</row>
    <row r="94" spans="1:90" s="75" customFormat="1" ht="24.95" customHeight="1">
      <c r="A94" s="7"/>
      <c r="B94" s="21"/>
      <c r="D94" s="199" t="s">
        <v>178</v>
      </c>
      <c r="E94" s="200"/>
      <c r="F94" s="200"/>
      <c r="G94" s="200"/>
      <c r="H94" s="200"/>
      <c r="I94" s="66"/>
      <c r="J94" s="202" t="s">
        <v>128</v>
      </c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64"/>
      <c r="AH94" s="111"/>
      <c r="AI94" s="111"/>
      <c r="AJ94" s="111"/>
      <c r="AK94" s="105"/>
      <c r="AL94" s="201">
        <f>'VN + ON'!$M$27</f>
        <v>0</v>
      </c>
      <c r="AM94" s="201"/>
      <c r="AN94" s="201">
        <f>'VN + ON'!L35</f>
        <v>0</v>
      </c>
      <c r="AO94" s="209"/>
      <c r="AP94" s="209"/>
      <c r="AQ94" s="22"/>
      <c r="AR94" s="7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G94" s="64"/>
      <c r="BH94" s="76"/>
      <c r="BI94" s="77"/>
      <c r="BJ94" s="78"/>
      <c r="BK94" s="77"/>
      <c r="BL94" s="77"/>
      <c r="BM94" s="77"/>
      <c r="BN94" s="77"/>
      <c r="BO94" s="77"/>
      <c r="BP94" s="77"/>
      <c r="BQ94" s="77"/>
      <c r="BR94" s="77"/>
      <c r="BS94" s="71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</row>
    <row r="95" spans="2:89" s="7" customFormat="1" ht="21" customHeight="1">
      <c r="B95" s="21"/>
      <c r="C95" s="86" t="s">
        <v>115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197">
        <f>ROUND($AG$86,2)</f>
        <v>0</v>
      </c>
      <c r="AH95" s="198"/>
      <c r="AI95" s="198"/>
      <c r="AJ95" s="198"/>
      <c r="AK95" s="198"/>
      <c r="AL95" s="198"/>
      <c r="AM95" s="198"/>
      <c r="AN95" s="197">
        <f>ROUND($AN$86,2)</f>
        <v>0</v>
      </c>
      <c r="AO95" s="198"/>
      <c r="AP95" s="198"/>
      <c r="AQ95" s="22"/>
      <c r="AR95" s="6"/>
      <c r="BH95" s="81">
        <v>0</v>
      </c>
      <c r="BI95" s="82" t="s">
        <v>71</v>
      </c>
      <c r="BJ95" s="82" t="s">
        <v>27</v>
      </c>
      <c r="BK95" s="79" t="e">
        <f>ROUND(IF($BJ$95="nulová",0,IF(OR($BJ$95="základní",$BJ$95="zákl. přenesená"),#REF!*$L$27,#REF!*$L$28)),2)</f>
        <v>#REF!</v>
      </c>
      <c r="BV95" s="7" t="s">
        <v>72</v>
      </c>
      <c r="BY95" s="80" t="e">
        <f>IF($BJ$95="základní",$BK$95,0)</f>
        <v>#REF!</v>
      </c>
      <c r="BZ95" s="80">
        <f>IF($BJ$95="snížená",$BK$95,0)</f>
        <v>0</v>
      </c>
      <c r="CA95" s="80">
        <f>IF($BJ$95="zákl. přenesená",$BK$95,0)</f>
        <v>0</v>
      </c>
      <c r="CB95" s="80">
        <f>IF($BJ$95="sníž. přenesená",$BK$95,0)</f>
        <v>0</v>
      </c>
      <c r="CC95" s="80">
        <f>IF($BJ$95="nulová",$BK$95,0)</f>
        <v>0</v>
      </c>
      <c r="CD95" s="80" t="e">
        <f>IF($BJ$95="základní",#REF!,0)</f>
        <v>#REF!</v>
      </c>
      <c r="CE95" s="80">
        <f>IF($BJ$95="snížená",#REF!,0)</f>
        <v>0</v>
      </c>
      <c r="CF95" s="80">
        <f>IF($BJ$95="zákl. přenesená",#REF!,0)</f>
        <v>0</v>
      </c>
      <c r="CG95" s="80">
        <f>IF($BJ$95="sníž. přenesená",#REF!,0)</f>
        <v>0</v>
      </c>
      <c r="CH95" s="80">
        <f>IF($BJ$95="nulová",#REF!,0)</f>
        <v>0</v>
      </c>
      <c r="CI95" s="7">
        <f>IF($BJ$95="základní",1,IF($BJ$95="snížená",2,IF($BJ$95="zákl. přenesená",4,IF($BJ$95="sníž. přenesená",5,3))))</f>
        <v>1</v>
      </c>
      <c r="CJ95" s="7">
        <f>IF($BI$95="stavební čast",1,IF(88104="investiční čast",2,3))</f>
        <v>1</v>
      </c>
      <c r="CK95" s="7" t="e">
        <f>IF(#REF!="Vyplň vlastní","","x")</f>
        <v>#REF!</v>
      </c>
    </row>
    <row r="96" spans="2:89" s="7" customFormat="1" ht="12" customHeight="1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110"/>
      <c r="AR96" s="6"/>
      <c r="BH96" s="81">
        <v>0</v>
      </c>
      <c r="BI96" s="82" t="s">
        <v>71</v>
      </c>
      <c r="BJ96" s="82" t="s">
        <v>27</v>
      </c>
      <c r="BK96" s="79" t="e">
        <f>ROUND(IF($BJ$96="nulová",0,IF(OR($BJ$96="základní",$BJ$96="zákl. přenesená"),#REF!*$L$27,#REF!*$L$28)),2)</f>
        <v>#REF!</v>
      </c>
      <c r="BV96" s="7" t="s">
        <v>72</v>
      </c>
      <c r="BY96" s="80" t="e">
        <f>IF($BJ$96="základní",$BK$96,0)</f>
        <v>#REF!</v>
      </c>
      <c r="BZ96" s="80">
        <f>IF($BJ$96="snížená",$BK$96,0)</f>
        <v>0</v>
      </c>
      <c r="CA96" s="80">
        <f>IF($BJ$96="zákl. přenesená",$BK$96,0)</f>
        <v>0</v>
      </c>
      <c r="CB96" s="80">
        <f>IF($BJ$96="sníž. přenesená",$BK$96,0)</f>
        <v>0</v>
      </c>
      <c r="CC96" s="80">
        <f>IF($BJ$96="nulová",$BK$96,0)</f>
        <v>0</v>
      </c>
      <c r="CD96" s="80" t="e">
        <f>IF($BJ$96="základní",#REF!,0)</f>
        <v>#REF!</v>
      </c>
      <c r="CE96" s="80">
        <f>IF($BJ$96="snížená",#REF!,0)</f>
        <v>0</v>
      </c>
      <c r="CF96" s="80">
        <f>IF($BJ$96="zákl. přenesená",#REF!,0)</f>
        <v>0</v>
      </c>
      <c r="CG96" s="80">
        <f>IF($BJ$96="sníž. přenesená",#REF!,0)</f>
        <v>0</v>
      </c>
      <c r="CH96" s="80">
        <f>IF($BJ$96="nulová",#REF!,0)</f>
        <v>0</v>
      </c>
      <c r="CI96" s="7">
        <f>IF($BJ$96="základní",1,IF($BJ$96="snížená",2,IF($BJ$96="zákl. přenesená",4,IF($BJ$96="sníž. přenesená",5,3))))</f>
        <v>1</v>
      </c>
      <c r="CJ96" s="7">
        <f>IF($BI$96="stavební čast",1,IF(88105="investiční čast",2,3))</f>
        <v>1</v>
      </c>
      <c r="CK96" s="7" t="e">
        <f>IF(#REF!="Vyplň vlastní","","x")</f>
        <v>#REF!</v>
      </c>
    </row>
    <row r="97" spans="1:89" s="7" customFormat="1" ht="30.75" customHeight="1">
      <c r="A97" s="6"/>
      <c r="B97" s="6"/>
      <c r="C97" s="6"/>
      <c r="AQ97" s="6"/>
      <c r="AR97" s="6"/>
      <c r="BH97" s="83">
        <v>0</v>
      </c>
      <c r="BI97" s="84" t="s">
        <v>71</v>
      </c>
      <c r="BJ97" s="84" t="s">
        <v>27</v>
      </c>
      <c r="BK97" s="85" t="e">
        <f>ROUND(IF($BJ$97="nulová",0,IF(OR($BJ$97="základní",$BJ$97="zákl. přenesená"),#REF!*$L$27,#REF!*$L$28)),2)</f>
        <v>#REF!</v>
      </c>
      <c r="BV97" s="7" t="s">
        <v>72</v>
      </c>
      <c r="BY97" s="80" t="e">
        <f>IF($BJ$97="základní",$BK$97,0)</f>
        <v>#REF!</v>
      </c>
      <c r="BZ97" s="80">
        <f>IF($BJ$97="snížená",$BK$97,0)</f>
        <v>0</v>
      </c>
      <c r="CA97" s="80">
        <f>IF($BJ$97="zákl. přenesená",$BK$97,0)</f>
        <v>0</v>
      </c>
      <c r="CB97" s="80">
        <f>IF($BJ$97="sníž. přenesená",$BK$97,0)</f>
        <v>0</v>
      </c>
      <c r="CC97" s="80">
        <f>IF($BJ$97="nulová",$BK$97,0)</f>
        <v>0</v>
      </c>
      <c r="CD97" s="80" t="e">
        <f>IF($BJ$97="základní",#REF!,0)</f>
        <v>#REF!</v>
      </c>
      <c r="CE97" s="80">
        <f>IF($BJ$97="snížená",#REF!,0)</f>
        <v>0</v>
      </c>
      <c r="CF97" s="80">
        <f>IF($BJ$97="zákl. přenesená",#REF!,0)</f>
        <v>0</v>
      </c>
      <c r="CG97" s="80">
        <f>IF($BJ$97="sníž. přenesená",#REF!,0)</f>
        <v>0</v>
      </c>
      <c r="CH97" s="80">
        <f>IF($BJ$97="nulová",#REF!,0)</f>
        <v>0</v>
      </c>
      <c r="CI97" s="7">
        <f>IF($BJ$97="základní",1,IF($BJ$97="snížená",2,IF($BJ$97="zákl. přenesená",4,IF($BJ$97="sníž. přenesená",5,3))))</f>
        <v>1</v>
      </c>
      <c r="CJ97" s="7">
        <f>IF($BI$97="stavební čast",1,IF(88106="investiční čast",2,3))</f>
        <v>1</v>
      </c>
      <c r="CK97" s="7" t="e">
        <f>IF(#REF!="Vyplň vlastní","","x")</f>
        <v>#REF!</v>
      </c>
    </row>
    <row r="98" spans="1:57" s="7" customFormat="1" ht="7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59:90" ht="14.25" customHeight="1"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</row>
    <row r="100" spans="59:90" ht="14.25" customHeight="1"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</row>
  </sheetData>
  <sheetProtection algorithmName="SHA-512" hashValue="tUYFmdimwB0PKJYkd1epUGBYHO+k65JiwGhdXy8vUy3ciWsXBApYTfVMvDlxuWtdAqRYPbmWs9fOUD4oEooCdw==" saltValue="yXordmEUjdAAIbv3y4SIYw==" spinCount="100000" sheet="1" objects="1" scenarios="1" selectLockedCells="1"/>
  <mergeCells count="79">
    <mergeCell ref="J92:AJ92"/>
    <mergeCell ref="J93:AJ93"/>
    <mergeCell ref="AN90:AP90"/>
    <mergeCell ref="AL91:AM91"/>
    <mergeCell ref="AN91:AP91"/>
    <mergeCell ref="AL92:AM92"/>
    <mergeCell ref="AN92:AP92"/>
    <mergeCell ref="AK25:AO25"/>
    <mergeCell ref="AK27:AO27"/>
    <mergeCell ref="C2:AP2"/>
    <mergeCell ref="C4:AP4"/>
    <mergeCell ref="E14:AJ14"/>
    <mergeCell ref="AK23:AO23"/>
    <mergeCell ref="K7:AJ7"/>
    <mergeCell ref="E17:AJ17"/>
    <mergeCell ref="E20:AJ20"/>
    <mergeCell ref="K8:AJ8"/>
    <mergeCell ref="E11:AJ11"/>
    <mergeCell ref="C75:AP75"/>
    <mergeCell ref="L28:O28"/>
    <mergeCell ref="W28:AE28"/>
    <mergeCell ref="AK28:AO28"/>
    <mergeCell ref="L27:O27"/>
    <mergeCell ref="W27:AE27"/>
    <mergeCell ref="D34:AO47"/>
    <mergeCell ref="AR2:BE2"/>
    <mergeCell ref="L29:O29"/>
    <mergeCell ref="W29:AE29"/>
    <mergeCell ref="AK29:AO29"/>
    <mergeCell ref="BH81:BR83"/>
    <mergeCell ref="L30:O30"/>
    <mergeCell ref="W30:AE30"/>
    <mergeCell ref="AK30:AO30"/>
    <mergeCell ref="L31:O31"/>
    <mergeCell ref="W31:AE31"/>
    <mergeCell ref="AK31:AO31"/>
    <mergeCell ref="BE5:BE33"/>
    <mergeCell ref="K5:AO5"/>
    <mergeCell ref="K6:AO6"/>
    <mergeCell ref="X33:AB33"/>
    <mergeCell ref="AK33:AO33"/>
    <mergeCell ref="L77:AO77"/>
    <mergeCell ref="AM81:AP81"/>
    <mergeCell ref="AM82:AP82"/>
    <mergeCell ref="AM79:AN79"/>
    <mergeCell ref="J89:AJ89"/>
    <mergeCell ref="AL89:AM89"/>
    <mergeCell ref="AN89:AP89"/>
    <mergeCell ref="L79:AG79"/>
    <mergeCell ref="AN84:AP84"/>
    <mergeCell ref="AN87:AP87"/>
    <mergeCell ref="AN86:AP86"/>
    <mergeCell ref="AL88:AM88"/>
    <mergeCell ref="AN88:AP88"/>
    <mergeCell ref="D88:H88"/>
    <mergeCell ref="J88:AJ88"/>
    <mergeCell ref="C84:G84"/>
    <mergeCell ref="I84:AF84"/>
    <mergeCell ref="AG84:AM84"/>
    <mergeCell ref="D87:H87"/>
    <mergeCell ref="AL87:AM87"/>
    <mergeCell ref="J87:AJ87"/>
    <mergeCell ref="AG86:AM86"/>
    <mergeCell ref="AN95:AP95"/>
    <mergeCell ref="D89:H89"/>
    <mergeCell ref="AG95:AM95"/>
    <mergeCell ref="AL90:AM90"/>
    <mergeCell ref="AL93:AM93"/>
    <mergeCell ref="D94:H94"/>
    <mergeCell ref="J94:AF94"/>
    <mergeCell ref="AN94:AP94"/>
    <mergeCell ref="AL94:AM94"/>
    <mergeCell ref="AN93:AP93"/>
    <mergeCell ref="D90:H90"/>
    <mergeCell ref="D91:H91"/>
    <mergeCell ref="D92:H92"/>
    <mergeCell ref="D93:H93"/>
    <mergeCell ref="J90:AJ90"/>
    <mergeCell ref="J91:AJ91"/>
  </mergeCells>
  <dataValidations count="2" disablePrompts="1">
    <dataValidation type="list" allowBlank="1" showInputMessage="1" showErrorMessage="1" error="Povoleny jsou hodnoty základní, snížená, zákl. přenesená, sníž. přenesená, nulová." sqref="AU95 BJ95:BJ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5 BI95:BI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</hyperlinks>
  <printOptions/>
  <pageMargins left="0.5902777910232544" right="0.5902777910232544" top="0.5902777910232544" bottom="0.5902777910232544" header="0" footer="0"/>
  <pageSetup blackAndWhite="1" fitToHeight="100" horizontalDpi="600" verticalDpi="600" orientation="portrait" paperSize="9" scale="84" r:id="rId2"/>
  <headerFooter alignWithMargins="0">
    <oddFooter>&amp;CStrana &amp;P z &amp;N</oddFooter>
  </headerFooter>
  <ignoredErrors>
    <ignoredError sqref="AN19 AN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52"/>
  <sheetViews>
    <sheetView showGridLines="0" zoomScaleSheetLayoutView="130" workbookViewId="0" topLeftCell="A1">
      <pane ySplit="1" topLeftCell="A2" activePane="bottomLeft" state="frozen"/>
      <selection pane="topLeft" activeCell="F151" sqref="F151:I151"/>
      <selection pane="bottomLeft" activeCell="L151" sqref="L151:M151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3.5" style="6" customWidth="1"/>
    <col min="20" max="20" width="11.33203125" style="6" hidden="1" customWidth="1"/>
    <col min="21" max="21" width="8" style="6" hidden="1" customWidth="1"/>
    <col min="22" max="22" width="0.1640625" style="6" hidden="1" customWidth="1"/>
    <col min="23" max="23" width="16" style="6" hidden="1" customWidth="1"/>
    <col min="24" max="24" width="16.66015625" style="6" hidden="1" customWidth="1"/>
    <col min="25" max="25" width="17.5" style="6" hidden="1" customWidth="1"/>
    <col min="26" max="26" width="0.1640625" style="6" hidden="1" customWidth="1"/>
    <col min="27" max="27" width="17.66015625" style="6" hidden="1" customWidth="1"/>
    <col min="28" max="28" width="13.66015625" style="6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5" customFormat="1" ht="22.5" customHeight="1">
      <c r="B1" s="2"/>
      <c r="C1" s="2"/>
      <c r="D1" s="3" t="s">
        <v>0</v>
      </c>
      <c r="E1" s="2"/>
      <c r="F1" s="4" t="s">
        <v>106</v>
      </c>
      <c r="G1" s="4"/>
      <c r="H1" s="250" t="s">
        <v>107</v>
      </c>
      <c r="I1" s="250"/>
      <c r="J1" s="250"/>
      <c r="K1" s="250"/>
      <c r="L1" s="4" t="s">
        <v>108</v>
      </c>
      <c r="M1" s="2"/>
      <c r="N1" s="2"/>
      <c r="O1" s="3" t="s">
        <v>73</v>
      </c>
      <c r="P1" s="2"/>
      <c r="Q1" s="2"/>
      <c r="R1" s="2"/>
      <c r="S1" s="4" t="s">
        <v>109</v>
      </c>
      <c r="T1" s="4"/>
    </row>
    <row r="2" spans="3:29" ht="37.5" customHeight="1">
      <c r="C2" s="244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16" t="s">
        <v>3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1" t="s">
        <v>74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45" t="str">
        <f>Rekapitulace!$K$6</f>
        <v>Instalace nové fotovoltaické elektrárny s výkonem 4 257,54 kWp v areálu Potěhy společnosti ČEPRO, a.s.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R6" s="12"/>
    </row>
    <row r="7" spans="2:18" ht="24.95" customHeight="1">
      <c r="B7" s="11"/>
      <c r="D7" s="18" t="s">
        <v>75</v>
      </c>
      <c r="F7" s="245" t="str">
        <f>Rekapitulace!J87</f>
        <v>Instalace pozemní FVE o výkonu 4 257,54 kWp na pozemcích v areálu p. č. 2358/3; p. č. 2358/50; p. č. 2358/46 a p. č. 2358/44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R7" s="12"/>
    </row>
    <row r="8" spans="2:18" s="7" customFormat="1" ht="33.75" customHeight="1">
      <c r="B8" s="21"/>
      <c r="D8" s="17" t="s">
        <v>76</v>
      </c>
      <c r="F8" s="228" t="str">
        <f>Rekapitulace!J87</f>
        <v>Instalace pozemní FVE o výkonu 4 257,54 kWp na pozemcích v areálu p. č. 2358/3; p. č. 2358/50; p. č. 2358/46 a p. č. 2358/44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Potěhy</v>
      </c>
      <c r="G10" s="212"/>
      <c r="H10" s="212"/>
      <c r="I10" s="212"/>
      <c r="J10" s="212"/>
      <c r="K10" s="212"/>
      <c r="L10" s="212"/>
      <c r="M10" s="18" t="s">
        <v>16</v>
      </c>
      <c r="O10" s="246">
        <f ca="1">Rekapitulace!$AN$8</f>
        <v>45268</v>
      </c>
      <c r="P10" s="246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1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1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1" t="str">
        <f>IF(Rekapitulace!$AN$13="","",Rekapitulace!$AN$13)</f>
        <v>Vyplň údaj</v>
      </c>
      <c r="P15" s="242"/>
      <c r="R15" s="22"/>
    </row>
    <row r="16" spans="2:18" s="7" customFormat="1" ht="18.75" customHeight="1">
      <c r="B16" s="21"/>
      <c r="E16" s="241" t="str">
        <f>IF(Rekapitulace!$E$14="","",Rekapitulace!$E$14)</f>
        <v>Vyplň údaj</v>
      </c>
      <c r="F16" s="242"/>
      <c r="G16" s="242"/>
      <c r="H16" s="242"/>
      <c r="I16" s="242"/>
      <c r="J16" s="242"/>
      <c r="K16" s="242"/>
      <c r="L16" s="242"/>
      <c r="M16" s="18" t="s">
        <v>19</v>
      </c>
      <c r="O16" s="241" t="str">
        <f>IF(Rekapitulace!$AN$14="","",Rekapitulace!$AN$14)</f>
        <v>Vyplň údaj</v>
      </c>
      <c r="P16" s="242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1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1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1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1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39">
        <f>$N$87</f>
        <v>0</v>
      </c>
      <c r="N25" s="211"/>
      <c r="O25" s="211"/>
      <c r="P25" s="211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3">
        <f>ROUND($M$25,2)</f>
        <v>0</v>
      </c>
      <c r="N27" s="211"/>
      <c r="O27" s="211"/>
      <c r="P27" s="211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0">
        <f>M27</f>
        <v>0</v>
      </c>
      <c r="I29" s="211"/>
      <c r="J29" s="211"/>
      <c r="M29" s="240">
        <f>(H29)*$F$29</f>
        <v>0</v>
      </c>
      <c r="N29" s="211"/>
      <c r="O29" s="211"/>
      <c r="P29" s="211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0">
        <f>(SUM($BF$93:$BF$93)+SUM($BF$112:$BF$142))</f>
        <v>0</v>
      </c>
      <c r="I30" s="211"/>
      <c r="J30" s="211"/>
      <c r="M30" s="240">
        <f>(SUM($BF$93:$BF$93)+SUM($BF$112:$BF$142))*$F$30</f>
        <v>0</v>
      </c>
      <c r="N30" s="211"/>
      <c r="O30" s="211"/>
      <c r="P30" s="211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0">
        <f>(SUM($BG$93:$BG$93)+SUM($BG$112:$BG$143))</f>
        <v>0</v>
      </c>
      <c r="I31" s="211"/>
      <c r="J31" s="211"/>
      <c r="M31" s="240">
        <v>0</v>
      </c>
      <c r="N31" s="211"/>
      <c r="O31" s="211"/>
      <c r="P31" s="211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0">
        <f>(SUM($BH$93:$BH$93)+SUM($BH$112:$BH$143))</f>
        <v>0</v>
      </c>
      <c r="I32" s="211"/>
      <c r="J32" s="211"/>
      <c r="M32" s="240">
        <v>0</v>
      </c>
      <c r="N32" s="211"/>
      <c r="O32" s="211"/>
      <c r="P32" s="211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0">
        <f>(SUM($BI$93:$BI$93)+SUM($BI$112:$BI$143))</f>
        <v>0</v>
      </c>
      <c r="I33" s="211"/>
      <c r="J33" s="211"/>
      <c r="M33" s="240">
        <v>0</v>
      </c>
      <c r="N33" s="211"/>
      <c r="O33" s="211"/>
      <c r="P33" s="211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58">
        <f>ROUND(SUM($M$27:$M$33),2)</f>
        <v>0</v>
      </c>
      <c r="M35" s="198"/>
      <c r="N35" s="198"/>
      <c r="O35" s="198"/>
      <c r="P35" s="198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K37" s="240"/>
      <c r="L37" s="211"/>
      <c r="M37" s="21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1" t="s">
        <v>78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45" t="str">
        <f>$F$6</f>
        <v>Instalace nové fotovoltaické elektrárny s výkonem 4 257,54 kWp v areálu Potěhy společnosti ČEPRO, a.s.</v>
      </c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R77" s="22"/>
    </row>
    <row r="78" spans="2:18" ht="24.95" customHeight="1">
      <c r="B78" s="11"/>
      <c r="C78" s="18" t="s">
        <v>75</v>
      </c>
      <c r="F78" s="245" t="str">
        <f>F7</f>
        <v>Instalace pozemní FVE o výkonu 4 257,54 kWp na pozemcích v areálu p. č. 2358/3; p. č. 2358/50; p. č. 2358/46 a p. č. 2358/44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R78" s="12"/>
    </row>
    <row r="79" spans="2:18" s="7" customFormat="1" ht="37.5" customHeight="1">
      <c r="B79" s="21"/>
      <c r="C79" s="50" t="s">
        <v>76</v>
      </c>
      <c r="F79" s="210" t="str">
        <f>F8</f>
        <v>Instalace pozemní FVE o výkonu 4 257,54 kWp na pozemcích v areálu p. č. 2358/3; p. č. 2358/50; p. č. 2358/46 a p. č. 2358/44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R79" s="22"/>
    </row>
    <row r="80" spans="2:18" s="7" customFormat="1" ht="7.5" customHeight="1">
      <c r="B80" s="21"/>
      <c r="R80" s="22"/>
    </row>
    <row r="81" spans="2:18" s="7" customFormat="1" ht="27.75" customHeight="1">
      <c r="B81" s="21"/>
      <c r="C81" s="18" t="s">
        <v>15</v>
      </c>
      <c r="F81" s="257" t="str">
        <f>$F$10</f>
        <v>Potěhy</v>
      </c>
      <c r="G81" s="257"/>
      <c r="H81" s="257"/>
      <c r="I81" s="257"/>
      <c r="J81" s="257"/>
      <c r="K81" s="257"/>
      <c r="L81" s="18" t="s">
        <v>16</v>
      </c>
      <c r="M81" s="213">
        <f ca="1">IF($O$10="","",$O$10)</f>
        <v>45268</v>
      </c>
      <c r="N81" s="211"/>
      <c r="O81" s="211"/>
      <c r="P81" s="211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1"/>
      <c r="O83" s="211"/>
      <c r="P83" s="211"/>
      <c r="Q83" s="211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1"/>
      <c r="O84" s="211"/>
      <c r="P84" s="211"/>
      <c r="Q84" s="211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3" t="s">
        <v>79</v>
      </c>
      <c r="D86" s="198"/>
      <c r="E86" s="198"/>
      <c r="F86" s="198"/>
      <c r="G86" s="198"/>
      <c r="H86" s="29"/>
      <c r="I86" s="29"/>
      <c r="J86" s="29"/>
      <c r="K86" s="29"/>
      <c r="L86" s="29"/>
      <c r="M86" s="29"/>
      <c r="N86" s="249" t="s">
        <v>80</v>
      </c>
      <c r="O86" s="211"/>
      <c r="P86" s="211"/>
      <c r="Q86" s="211"/>
      <c r="R86" s="22"/>
    </row>
    <row r="87" spans="2:18" s="7" customFormat="1" ht="30" customHeight="1">
      <c r="B87" s="21"/>
      <c r="C87" s="58" t="s">
        <v>81</v>
      </c>
      <c r="N87" s="206">
        <f>SUM(N88:Q92)</f>
        <v>0</v>
      </c>
      <c r="O87" s="211"/>
      <c r="P87" s="211"/>
      <c r="Q87" s="211"/>
      <c r="R87" s="22"/>
    </row>
    <row r="88" spans="2:18" s="63" customFormat="1" ht="20.1" customHeight="1">
      <c r="B88" s="89"/>
      <c r="D88" s="101" t="str">
        <f>D113</f>
        <v>Instalace fotovoltaické elektrárny</v>
      </c>
      <c r="N88" s="247">
        <f>$N$113</f>
        <v>0</v>
      </c>
      <c r="O88" s="248"/>
      <c r="P88" s="248"/>
      <c r="Q88" s="248"/>
      <c r="R88" s="90"/>
    </row>
    <row r="89" spans="2:18" s="75" customFormat="1" ht="21" customHeight="1">
      <c r="B89" s="91"/>
      <c r="D89" s="101" t="str">
        <f>D129</f>
        <v>Elektromateriál, rozvaděče</v>
      </c>
      <c r="E89" s="63"/>
      <c r="F89" s="63"/>
      <c r="G89" s="63"/>
      <c r="H89" s="63"/>
      <c r="I89" s="63"/>
      <c r="J89" s="63"/>
      <c r="K89" s="63"/>
      <c r="L89" s="63"/>
      <c r="M89" s="63"/>
      <c r="N89" s="247">
        <f>$N$129</f>
        <v>0</v>
      </c>
      <c r="O89" s="248"/>
      <c r="P89" s="248"/>
      <c r="Q89" s="248"/>
      <c r="R89" s="92"/>
    </row>
    <row r="90" spans="2:18" s="75" customFormat="1" ht="21" customHeight="1">
      <c r="B90" s="91"/>
      <c r="D90" s="101" t="str">
        <f>D137</f>
        <v>Ostatní materiál</v>
      </c>
      <c r="E90" s="63"/>
      <c r="F90" s="63"/>
      <c r="G90" s="63"/>
      <c r="H90" s="63"/>
      <c r="I90" s="63"/>
      <c r="J90" s="63"/>
      <c r="K90" s="63"/>
      <c r="L90" s="63"/>
      <c r="M90" s="63"/>
      <c r="N90" s="247">
        <f>$N$137</f>
        <v>0</v>
      </c>
      <c r="O90" s="248"/>
      <c r="P90" s="248"/>
      <c r="Q90" s="248"/>
      <c r="R90" s="92"/>
    </row>
    <row r="91" spans="2:18" s="75" customFormat="1" ht="21" customHeight="1">
      <c r="B91" s="91"/>
      <c r="D91" s="101" t="str">
        <f>D144</f>
        <v>Bleskosvod a uzemnění</v>
      </c>
      <c r="E91" s="63"/>
      <c r="F91" s="63"/>
      <c r="G91" s="63"/>
      <c r="H91" s="63"/>
      <c r="I91" s="63"/>
      <c r="J91" s="63"/>
      <c r="K91" s="63"/>
      <c r="L91" s="63"/>
      <c r="M91" s="63"/>
      <c r="N91" s="247">
        <f>N144</f>
        <v>0</v>
      </c>
      <c r="O91" s="248"/>
      <c r="P91" s="248"/>
      <c r="Q91" s="248"/>
      <c r="R91" s="92"/>
    </row>
    <row r="92" spans="2:18" s="75" customFormat="1" ht="21" customHeight="1">
      <c r="B92" s="91"/>
      <c r="D92" s="101" t="str">
        <f>D149</f>
        <v>Terenní úpravy</v>
      </c>
      <c r="E92" s="63"/>
      <c r="F92" s="63"/>
      <c r="G92" s="63"/>
      <c r="H92" s="63"/>
      <c r="I92" s="63"/>
      <c r="J92" s="63"/>
      <c r="K92" s="63"/>
      <c r="L92" s="63"/>
      <c r="M92" s="63"/>
      <c r="N92" s="247">
        <f>N149</f>
        <v>0</v>
      </c>
      <c r="O92" s="248"/>
      <c r="P92" s="248"/>
      <c r="Q92" s="248"/>
      <c r="R92" s="92"/>
    </row>
    <row r="93" spans="2:18" s="7" customFormat="1" ht="12" customHeight="1">
      <c r="B93" s="21"/>
      <c r="R93" s="22"/>
    </row>
    <row r="94" spans="2:18" s="7" customFormat="1" ht="30" customHeight="1">
      <c r="B94" s="21"/>
      <c r="C94" s="86" t="s">
        <v>115</v>
      </c>
      <c r="D94" s="29"/>
      <c r="E94" s="29"/>
      <c r="F94" s="29"/>
      <c r="G94" s="29"/>
      <c r="H94" s="29"/>
      <c r="I94" s="29"/>
      <c r="J94" s="29"/>
      <c r="K94" s="29"/>
      <c r="L94" s="197">
        <f>N112</f>
        <v>0</v>
      </c>
      <c r="M94" s="198"/>
      <c r="N94" s="198"/>
      <c r="O94" s="198"/>
      <c r="P94" s="198"/>
      <c r="Q94" s="198"/>
      <c r="R94" s="22"/>
    </row>
    <row r="95" spans="2:18" s="7" customFormat="1" ht="7.5" customHeight="1"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4"/>
    </row>
    <row r="99" spans="2:18" s="7" customFormat="1" ht="7.5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7"/>
    </row>
    <row r="100" spans="2:18" s="7" customFormat="1" ht="37.5" customHeight="1">
      <c r="B100" s="21"/>
      <c r="C100" s="231" t="s">
        <v>83</v>
      </c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2"/>
    </row>
    <row r="101" spans="2:18" s="7" customFormat="1" ht="7.5" customHeight="1">
      <c r="B101" s="21"/>
      <c r="R101" s="22"/>
    </row>
    <row r="102" spans="2:18" s="7" customFormat="1" ht="24.95" customHeight="1">
      <c r="B102" s="21"/>
      <c r="C102" s="18" t="s">
        <v>12</v>
      </c>
      <c r="F102" s="245" t="str">
        <f>$F$6</f>
        <v>Instalace nové fotovoltaické elektrárny s výkonem 4 257,54 kWp v areálu Potěhy společnosti ČEPRO, a.s.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R102" s="22"/>
    </row>
    <row r="103" spans="2:18" ht="24.95" customHeight="1">
      <c r="B103" s="11"/>
      <c r="C103" s="18" t="s">
        <v>75</v>
      </c>
      <c r="F103" s="245" t="str">
        <f>F7</f>
        <v>Instalace pozemní FVE o výkonu 4 257,54 kWp na pozemcích v areálu p. č. 2358/3; p. č. 2358/50; p. č. 2358/46 a p. č. 2358/44</v>
      </c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R103" s="12"/>
    </row>
    <row r="104" spans="2:18" s="7" customFormat="1" ht="37.5" customHeight="1">
      <c r="B104" s="21"/>
      <c r="C104" s="50" t="s">
        <v>76</v>
      </c>
      <c r="F104" s="210" t="str">
        <f>F8</f>
        <v>Instalace pozemní FVE o výkonu 4 257,54 kWp na pozemcích v areálu p. č. 2358/3; p. č. 2358/50; p. č. 2358/46 a p. č. 2358/44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R104" s="22"/>
    </row>
    <row r="105" spans="2:18" s="7" customFormat="1" ht="7.5" customHeight="1">
      <c r="B105" s="21"/>
      <c r="R105" s="22"/>
    </row>
    <row r="106" spans="2:18" s="7" customFormat="1" ht="18.75" customHeight="1">
      <c r="B106" s="21"/>
      <c r="C106" s="18" t="s">
        <v>15</v>
      </c>
      <c r="F106" s="16" t="str">
        <f>$F$10</f>
        <v>Potěhy</v>
      </c>
      <c r="L106" s="18" t="s">
        <v>16</v>
      </c>
      <c r="M106" s="213">
        <f ca="1">IF($O$10="","",$O$10)</f>
        <v>45268</v>
      </c>
      <c r="N106" s="211"/>
      <c r="O106" s="211"/>
      <c r="P106" s="211"/>
      <c r="R106" s="22"/>
    </row>
    <row r="107" spans="2:18" s="7" customFormat="1" ht="7.5" customHeight="1">
      <c r="B107" s="21"/>
      <c r="R107" s="22"/>
    </row>
    <row r="108" spans="2:18" s="7" customFormat="1" ht="15.75" customHeight="1">
      <c r="B108" s="21"/>
      <c r="C108" s="18" t="s">
        <v>17</v>
      </c>
      <c r="F108" s="16" t="str">
        <f>$E$13</f>
        <v>ČEPRO, a.s.</v>
      </c>
      <c r="L108" s="18" t="s">
        <v>22</v>
      </c>
      <c r="M108" s="212" t="str">
        <f>$E$19</f>
        <v>YOUNG4ENERGY s.r.o.</v>
      </c>
      <c r="N108" s="211"/>
      <c r="O108" s="211"/>
      <c r="P108" s="211"/>
      <c r="Q108" s="211"/>
      <c r="R108" s="22"/>
    </row>
    <row r="109" spans="2:18" s="7" customFormat="1" ht="15" customHeight="1">
      <c r="B109" s="21"/>
      <c r="C109" s="18" t="s">
        <v>20</v>
      </c>
      <c r="F109" s="16" t="str">
        <f>IF($E$16="","",$E$16)</f>
        <v>Vyplň údaj</v>
      </c>
      <c r="L109" s="18" t="s">
        <v>23</v>
      </c>
      <c r="M109" s="212" t="str">
        <f>$E$22</f>
        <v>YOUNG4ENERGY s.r.o.</v>
      </c>
      <c r="N109" s="211"/>
      <c r="O109" s="211"/>
      <c r="P109" s="211"/>
      <c r="Q109" s="211"/>
      <c r="R109" s="22"/>
    </row>
    <row r="110" spans="2:18" s="7" customFormat="1" ht="11.25" customHeight="1">
      <c r="B110" s="21"/>
      <c r="R110" s="22"/>
    </row>
    <row r="111" spans="2:27" s="96" customFormat="1" ht="30" customHeight="1">
      <c r="B111" s="93"/>
      <c r="C111" s="94" t="s">
        <v>84</v>
      </c>
      <c r="D111" s="165" t="s">
        <v>85</v>
      </c>
      <c r="E111" s="165" t="s">
        <v>44</v>
      </c>
      <c r="F111" s="267" t="s">
        <v>86</v>
      </c>
      <c r="G111" s="268"/>
      <c r="H111" s="268"/>
      <c r="I111" s="268"/>
      <c r="J111" s="165" t="s">
        <v>87</v>
      </c>
      <c r="K111" s="165" t="s">
        <v>88</v>
      </c>
      <c r="L111" s="267" t="s">
        <v>89</v>
      </c>
      <c r="M111" s="268"/>
      <c r="N111" s="267" t="s">
        <v>90</v>
      </c>
      <c r="O111" s="268"/>
      <c r="P111" s="268"/>
      <c r="Q111" s="269"/>
      <c r="R111" s="95"/>
      <c r="T111" s="54" t="s">
        <v>91</v>
      </c>
      <c r="U111" s="55" t="s">
        <v>26</v>
      </c>
      <c r="V111" s="55" t="s">
        <v>92</v>
      </c>
      <c r="W111" s="55" t="s">
        <v>93</v>
      </c>
      <c r="X111" s="55" t="s">
        <v>94</v>
      </c>
      <c r="Y111" s="55" t="s">
        <v>95</v>
      </c>
      <c r="Z111" s="55" t="s">
        <v>96</v>
      </c>
      <c r="AA111" s="56" t="s">
        <v>97</v>
      </c>
    </row>
    <row r="112" spans="2:63" s="7" customFormat="1" ht="30" customHeight="1">
      <c r="B112" s="21"/>
      <c r="C112" s="58" t="s">
        <v>77</v>
      </c>
      <c r="N112" s="259">
        <f>N113+N137+N129+N144+N149</f>
        <v>0</v>
      </c>
      <c r="O112" s="211"/>
      <c r="P112" s="211"/>
      <c r="Q112" s="211"/>
      <c r="R112" s="22"/>
      <c r="T112" s="57"/>
      <c r="U112" s="34"/>
      <c r="V112" s="34"/>
      <c r="W112" s="97" t="e">
        <f>$W$113+#REF!+#REF!</f>
        <v>#REF!</v>
      </c>
      <c r="X112" s="34"/>
      <c r="Y112" s="97" t="e">
        <f>$Y$113+#REF!+#REF!</f>
        <v>#REF!</v>
      </c>
      <c r="Z112" s="34"/>
      <c r="AA112" s="98" t="e">
        <f>$AA$113+#REF!+#REF!</f>
        <v>#REF!</v>
      </c>
      <c r="BK112" s="99"/>
    </row>
    <row r="113" spans="2:63" s="113" customFormat="1" ht="24.95" customHeight="1">
      <c r="B113" s="100"/>
      <c r="D113" s="101" t="s">
        <v>141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260">
        <f>N114+N117+N120+N123+N127</f>
        <v>0</v>
      </c>
      <c r="O113" s="261"/>
      <c r="P113" s="261"/>
      <c r="Q113" s="261"/>
      <c r="R113" s="102"/>
      <c r="T113" s="114"/>
      <c r="W113" s="115" t="e">
        <f>$W$114+#REF!+$W$130+#REF!+#REF!+#REF!</f>
        <v>#REF!</v>
      </c>
      <c r="Y113" s="115" t="e">
        <f>$Y$114+#REF!+$Y$130+#REF!+#REF!+#REF!</f>
        <v>#REF!</v>
      </c>
      <c r="AA113" s="116" t="e">
        <f>$AA$114+#REF!+$AA$130+#REF!+#REF!+#REF!</f>
        <v>#REF!</v>
      </c>
      <c r="AR113" s="164"/>
      <c r="AT113" s="164"/>
      <c r="AU113" s="164"/>
      <c r="AY113" s="164"/>
      <c r="BK113" s="117"/>
    </row>
    <row r="114" spans="2:63" s="113" customFormat="1" ht="20.1" customHeight="1">
      <c r="B114" s="100"/>
      <c r="D114" s="112" t="s">
        <v>156</v>
      </c>
      <c r="E114" s="112"/>
      <c r="F114" s="112"/>
      <c r="G114" s="112"/>
      <c r="H114" s="112"/>
      <c r="I114" s="112"/>
      <c r="J114" s="112"/>
      <c r="K114" s="112"/>
      <c r="L114" s="112"/>
      <c r="M114" s="112"/>
      <c r="N114" s="262">
        <f>SUM(N115:Q116)</f>
        <v>0</v>
      </c>
      <c r="O114" s="261"/>
      <c r="P114" s="261"/>
      <c r="Q114" s="261"/>
      <c r="R114" s="102"/>
      <c r="T114" s="114"/>
      <c r="W114" s="115" t="e">
        <f>SUM($W$115:$W$124)</f>
        <v>#REF!</v>
      </c>
      <c r="Y114" s="115" t="e">
        <f>SUM($Y$115:$Y$124)</f>
        <v>#REF!</v>
      </c>
      <c r="AA114" s="116" t="e">
        <f>SUM($AA$115:$AA$124)</f>
        <v>#REF!</v>
      </c>
      <c r="AR114" s="164"/>
      <c r="AT114" s="164"/>
      <c r="AU114" s="164"/>
      <c r="AY114" s="164"/>
      <c r="BK114" s="117"/>
    </row>
    <row r="115" spans="2:63" s="7" customFormat="1" ht="60" customHeight="1">
      <c r="B115" s="21"/>
      <c r="C115" s="120">
        <v>1</v>
      </c>
      <c r="D115" s="122"/>
      <c r="E115" s="155"/>
      <c r="F115" s="264" t="s">
        <v>214</v>
      </c>
      <c r="G115" s="265"/>
      <c r="H115" s="265"/>
      <c r="I115" s="266"/>
      <c r="J115" s="158" t="s">
        <v>103</v>
      </c>
      <c r="K115" s="121">
        <v>7812</v>
      </c>
      <c r="L115" s="253">
        <v>0</v>
      </c>
      <c r="M115" s="254"/>
      <c r="N115" s="251">
        <f aca="true" t="shared" si="0" ref="N115:N124">ROUND(L115*K115,2)</f>
        <v>0</v>
      </c>
      <c r="O115" s="252"/>
      <c r="P115" s="252"/>
      <c r="Q115" s="252"/>
      <c r="R115" s="22"/>
      <c r="T115" s="103"/>
      <c r="U115" s="27" t="s">
        <v>27</v>
      </c>
      <c r="V115" s="119">
        <v>0.497</v>
      </c>
      <c r="W115" s="119">
        <f>$V$115*$K$115</f>
        <v>3882.564</v>
      </c>
      <c r="X115" s="119">
        <v>0.00034</v>
      </c>
      <c r="Y115" s="119">
        <f>$X$115*$K$115</f>
        <v>2.65608</v>
      </c>
      <c r="Z115" s="119">
        <v>0</v>
      </c>
      <c r="AA115" s="104">
        <f>$Z$115*$K$115</f>
        <v>0</v>
      </c>
      <c r="AB115" s="168"/>
      <c r="BE115" s="80"/>
      <c r="BF115" s="80"/>
      <c r="BG115" s="80"/>
      <c r="BH115" s="80"/>
      <c r="BI115" s="80"/>
      <c r="BK115" s="80"/>
    </row>
    <row r="116" spans="2:63" s="7" customFormat="1" ht="33.75" customHeight="1">
      <c r="B116" s="21"/>
      <c r="C116" s="120">
        <f aca="true" t="shared" si="1" ref="C116">C115+1</f>
        <v>2</v>
      </c>
      <c r="D116" s="166"/>
      <c r="E116" s="155"/>
      <c r="F116" s="270" t="s">
        <v>157</v>
      </c>
      <c r="G116" s="271"/>
      <c r="H116" s="271"/>
      <c r="I116" s="272"/>
      <c r="J116" s="159" t="s">
        <v>103</v>
      </c>
      <c r="K116" s="121">
        <v>7812</v>
      </c>
      <c r="L116" s="253">
        <v>0</v>
      </c>
      <c r="M116" s="254"/>
      <c r="N116" s="251">
        <f aca="true" t="shared" si="2" ref="N116">ROUND(L116*K116,2)</f>
        <v>0</v>
      </c>
      <c r="O116" s="252"/>
      <c r="P116" s="252"/>
      <c r="Q116" s="252"/>
      <c r="R116" s="22"/>
      <c r="T116" s="103"/>
      <c r="U116" s="27" t="s">
        <v>27</v>
      </c>
      <c r="V116" s="119">
        <v>0.497</v>
      </c>
      <c r="W116" s="119">
        <f>$V$116*$K$116</f>
        <v>3882.564</v>
      </c>
      <c r="X116" s="119">
        <v>0.00034</v>
      </c>
      <c r="Y116" s="119">
        <f>$X$116*$K$116</f>
        <v>2.65608</v>
      </c>
      <c r="Z116" s="119">
        <v>0</v>
      </c>
      <c r="AA116" s="104">
        <f>$Z$116*$K$116</f>
        <v>0</v>
      </c>
      <c r="AB116" s="168"/>
      <c r="AD116" s="168"/>
      <c r="BE116" s="80"/>
      <c r="BF116" s="80"/>
      <c r="BG116" s="80"/>
      <c r="BH116" s="80"/>
      <c r="BI116" s="80"/>
      <c r="BK116" s="80"/>
    </row>
    <row r="117" spans="2:63" s="113" customFormat="1" ht="20.1" customHeight="1">
      <c r="B117" s="100"/>
      <c r="D117" s="112" t="s">
        <v>159</v>
      </c>
      <c r="E117" s="112"/>
      <c r="F117" s="112"/>
      <c r="G117" s="112"/>
      <c r="H117" s="112"/>
      <c r="I117" s="112"/>
      <c r="J117" s="112"/>
      <c r="K117" s="112"/>
      <c r="L117" s="112"/>
      <c r="M117" s="112"/>
      <c r="N117" s="262">
        <f>SUM(N118:Q119)</f>
        <v>0</v>
      </c>
      <c r="O117" s="261"/>
      <c r="P117" s="261"/>
      <c r="Q117" s="261"/>
      <c r="R117" s="102"/>
      <c r="T117" s="114"/>
      <c r="W117" s="115"/>
      <c r="Y117" s="115"/>
      <c r="AA117" s="116"/>
      <c r="AR117" s="164"/>
      <c r="AT117" s="164"/>
      <c r="AU117" s="164"/>
      <c r="AY117" s="164"/>
      <c r="BK117" s="117"/>
    </row>
    <row r="118" spans="2:63" s="7" customFormat="1" ht="60" customHeight="1">
      <c r="B118" s="21"/>
      <c r="C118" s="120">
        <f>C116+1</f>
        <v>3</v>
      </c>
      <c r="D118" s="120"/>
      <c r="E118" s="155"/>
      <c r="F118" s="270" t="s">
        <v>181</v>
      </c>
      <c r="G118" s="271"/>
      <c r="H118" s="271"/>
      <c r="I118" s="272"/>
      <c r="J118" s="159" t="s">
        <v>103</v>
      </c>
      <c r="K118" s="121">
        <v>35</v>
      </c>
      <c r="L118" s="255">
        <v>0</v>
      </c>
      <c r="M118" s="256"/>
      <c r="N118" s="251">
        <f aca="true" t="shared" si="3" ref="N118">ROUND(L118*K118,2)</f>
        <v>0</v>
      </c>
      <c r="O118" s="252"/>
      <c r="P118" s="252"/>
      <c r="Q118" s="252"/>
      <c r="R118" s="22"/>
      <c r="T118" s="103"/>
      <c r="U118" s="27"/>
      <c r="V118" s="119"/>
      <c r="W118" s="119"/>
      <c r="X118" s="119"/>
      <c r="Y118" s="119"/>
      <c r="Z118" s="119"/>
      <c r="AA118" s="104"/>
      <c r="BE118" s="80"/>
      <c r="BF118" s="80"/>
      <c r="BG118" s="80"/>
      <c r="BH118" s="80"/>
      <c r="BI118" s="80"/>
      <c r="BK118" s="80"/>
    </row>
    <row r="119" spans="2:63" s="7" customFormat="1" ht="58.5" customHeight="1">
      <c r="B119" s="21"/>
      <c r="C119" s="120">
        <f>C118+1</f>
        <v>4</v>
      </c>
      <c r="D119" s="120"/>
      <c r="E119" s="155"/>
      <c r="F119" s="270" t="s">
        <v>182</v>
      </c>
      <c r="G119" s="271"/>
      <c r="H119" s="271"/>
      <c r="I119" s="272"/>
      <c r="J119" s="159" t="s">
        <v>100</v>
      </c>
      <c r="K119" s="121">
        <v>35</v>
      </c>
      <c r="L119" s="255">
        <v>0</v>
      </c>
      <c r="M119" s="256"/>
      <c r="N119" s="251">
        <f aca="true" t="shared" si="4" ref="N119">ROUND(L119*K119,2)</f>
        <v>0</v>
      </c>
      <c r="O119" s="252"/>
      <c r="P119" s="252"/>
      <c r="Q119" s="252"/>
      <c r="R119" s="22"/>
      <c r="T119" s="103"/>
      <c r="U119" s="27" t="s">
        <v>27</v>
      </c>
      <c r="V119" s="119">
        <v>0.267</v>
      </c>
      <c r="W119" s="119" t="e">
        <f>#REF!*#REF!</f>
        <v>#REF!</v>
      </c>
      <c r="X119" s="119">
        <v>0.0001</v>
      </c>
      <c r="Y119" s="119" t="e">
        <f>#REF!*#REF!</f>
        <v>#REF!</v>
      </c>
      <c r="Z119" s="119">
        <v>0</v>
      </c>
      <c r="AA119" s="104" t="e">
        <f>#REF!*#REF!</f>
        <v>#REF!</v>
      </c>
      <c r="BE119" s="80"/>
      <c r="BF119" s="80"/>
      <c r="BG119" s="80"/>
      <c r="BH119" s="80"/>
      <c r="BI119" s="80"/>
      <c r="BK119" s="80"/>
    </row>
    <row r="120" spans="2:63" s="113" customFormat="1" ht="20.1" customHeight="1">
      <c r="B120" s="100"/>
      <c r="D120" s="112" t="s">
        <v>160</v>
      </c>
      <c r="E120" s="112"/>
      <c r="F120" s="112"/>
      <c r="G120" s="112"/>
      <c r="H120" s="112"/>
      <c r="I120" s="112"/>
      <c r="J120" s="112"/>
      <c r="K120" s="112"/>
      <c r="L120" s="112"/>
      <c r="M120" s="112"/>
      <c r="N120" s="262">
        <f>SUM(N121:Q122)</f>
        <v>0</v>
      </c>
      <c r="O120" s="261"/>
      <c r="P120" s="261"/>
      <c r="Q120" s="261"/>
      <c r="R120" s="102"/>
      <c r="T120" s="114"/>
      <c r="W120" s="115" t="e">
        <f>SUM($W$115:$W$124)</f>
        <v>#REF!</v>
      </c>
      <c r="Y120" s="115" t="e">
        <f>SUM($Y$115:$Y$124)</f>
        <v>#REF!</v>
      </c>
      <c r="AA120" s="116" t="e">
        <f>SUM($AA$115:$AA$124)</f>
        <v>#REF!</v>
      </c>
      <c r="AR120" s="164"/>
      <c r="AT120" s="164"/>
      <c r="AU120" s="164"/>
      <c r="AY120" s="164"/>
      <c r="BK120" s="117"/>
    </row>
    <row r="121" spans="2:63" s="7" customFormat="1" ht="90.75" customHeight="1">
      <c r="B121" s="21"/>
      <c r="C121" s="120">
        <f>C119+1</f>
        <v>5</v>
      </c>
      <c r="D121" s="120"/>
      <c r="E121" s="155"/>
      <c r="F121" s="270" t="s">
        <v>183</v>
      </c>
      <c r="G121" s="271"/>
      <c r="H121" s="271"/>
      <c r="I121" s="272"/>
      <c r="J121" s="159" t="s">
        <v>103</v>
      </c>
      <c r="K121" s="121">
        <v>4067</v>
      </c>
      <c r="L121" s="253">
        <v>0</v>
      </c>
      <c r="M121" s="254"/>
      <c r="N121" s="251">
        <f aca="true" t="shared" si="5" ref="N121">ROUND(L121*K121,2)</f>
        <v>0</v>
      </c>
      <c r="O121" s="252"/>
      <c r="P121" s="252"/>
      <c r="Q121" s="252"/>
      <c r="R121" s="22"/>
      <c r="T121" s="103"/>
      <c r="U121" s="27"/>
      <c r="V121" s="119"/>
      <c r="W121" s="119"/>
      <c r="X121" s="119"/>
      <c r="Y121" s="119"/>
      <c r="Z121" s="119"/>
      <c r="AA121" s="104"/>
      <c r="BE121" s="80"/>
      <c r="BF121" s="80"/>
      <c r="BG121" s="80"/>
      <c r="BH121" s="80"/>
      <c r="BI121" s="80"/>
      <c r="BK121" s="80"/>
    </row>
    <row r="122" spans="2:63" s="7" customFormat="1" ht="44.25" customHeight="1">
      <c r="B122" s="21"/>
      <c r="C122" s="120">
        <f>C121+1</f>
        <v>6</v>
      </c>
      <c r="D122" s="120"/>
      <c r="E122" s="155"/>
      <c r="F122" s="270" t="s">
        <v>165</v>
      </c>
      <c r="G122" s="271"/>
      <c r="H122" s="271"/>
      <c r="I122" s="272"/>
      <c r="J122" s="159" t="s">
        <v>103</v>
      </c>
      <c r="K122" s="121">
        <v>4067</v>
      </c>
      <c r="L122" s="255">
        <v>0</v>
      </c>
      <c r="M122" s="256"/>
      <c r="N122" s="251">
        <f aca="true" t="shared" si="6" ref="N122">ROUND(L122*K122,2)</f>
        <v>0</v>
      </c>
      <c r="O122" s="252"/>
      <c r="P122" s="252"/>
      <c r="Q122" s="252"/>
      <c r="R122" s="22"/>
      <c r="T122" s="103"/>
      <c r="U122" s="27" t="s">
        <v>27</v>
      </c>
      <c r="V122" s="119">
        <v>0.267</v>
      </c>
      <c r="W122" s="119" t="e">
        <f>#REF!*#REF!</f>
        <v>#REF!</v>
      </c>
      <c r="X122" s="119">
        <v>0.0001</v>
      </c>
      <c r="Y122" s="119" t="e">
        <f>#REF!*#REF!</f>
        <v>#REF!</v>
      </c>
      <c r="Z122" s="119">
        <v>0</v>
      </c>
      <c r="AA122" s="104" t="e">
        <f>#REF!*#REF!</f>
        <v>#REF!</v>
      </c>
      <c r="BE122" s="80"/>
      <c r="BF122" s="80"/>
      <c r="BG122" s="80"/>
      <c r="BH122" s="80"/>
      <c r="BI122" s="80"/>
      <c r="BK122" s="80"/>
    </row>
    <row r="123" spans="2:63" s="113" customFormat="1" ht="20.1" customHeight="1">
      <c r="B123" s="100"/>
      <c r="D123" s="112" t="s">
        <v>161</v>
      </c>
      <c r="E123" s="112"/>
      <c r="F123" s="112"/>
      <c r="G123" s="112"/>
      <c r="H123" s="112"/>
      <c r="I123" s="112"/>
      <c r="J123" s="112"/>
      <c r="K123" s="112"/>
      <c r="L123" s="112"/>
      <c r="M123" s="112"/>
      <c r="N123" s="262">
        <f>SUM(N124:Q126)</f>
        <v>0</v>
      </c>
      <c r="O123" s="261"/>
      <c r="P123" s="261"/>
      <c r="Q123" s="261"/>
      <c r="R123" s="102"/>
      <c r="T123" s="114"/>
      <c r="W123" s="115" t="e">
        <f>SUM($W$115:$W$124)</f>
        <v>#REF!</v>
      </c>
      <c r="Y123" s="115" t="e">
        <f>SUM($Y$115:$Y$124)</f>
        <v>#REF!</v>
      </c>
      <c r="AA123" s="116" t="e">
        <f>SUM($AA$115:$AA$124)</f>
        <v>#REF!</v>
      </c>
      <c r="AR123" s="164"/>
      <c r="AT123" s="164"/>
      <c r="AU123" s="164"/>
      <c r="AY123" s="164"/>
      <c r="BK123" s="117"/>
    </row>
    <row r="124" spans="2:63" s="7" customFormat="1" ht="113.25" customHeight="1">
      <c r="B124" s="21"/>
      <c r="C124" s="120">
        <f>C122+1</f>
        <v>7</v>
      </c>
      <c r="D124" s="120"/>
      <c r="E124" s="155"/>
      <c r="F124" s="270" t="s">
        <v>215</v>
      </c>
      <c r="G124" s="271"/>
      <c r="H124" s="271"/>
      <c r="I124" s="272"/>
      <c r="J124" s="159" t="s">
        <v>100</v>
      </c>
      <c r="K124" s="121">
        <v>1</v>
      </c>
      <c r="L124" s="253">
        <v>0</v>
      </c>
      <c r="M124" s="254"/>
      <c r="N124" s="251">
        <f t="shared" si="0"/>
        <v>0</v>
      </c>
      <c r="O124" s="252"/>
      <c r="P124" s="252"/>
      <c r="Q124" s="252"/>
      <c r="R124" s="22"/>
      <c r="T124" s="103"/>
      <c r="U124" s="27"/>
      <c r="V124" s="119"/>
      <c r="W124" s="119"/>
      <c r="X124" s="119"/>
      <c r="Y124" s="119"/>
      <c r="Z124" s="119"/>
      <c r="AA124" s="104"/>
      <c r="BE124" s="80"/>
      <c r="BF124" s="80"/>
      <c r="BG124" s="80"/>
      <c r="BH124" s="80"/>
      <c r="BI124" s="80"/>
      <c r="BK124" s="80"/>
    </row>
    <row r="125" spans="2:63" s="7" customFormat="1" ht="34.5" customHeight="1">
      <c r="B125" s="21"/>
      <c r="C125" s="120">
        <f>C124+1</f>
        <v>8</v>
      </c>
      <c r="D125" s="120"/>
      <c r="E125" s="155"/>
      <c r="F125" s="270" t="s">
        <v>225</v>
      </c>
      <c r="G125" s="271"/>
      <c r="H125" s="271"/>
      <c r="I125" s="272"/>
      <c r="J125" s="159" t="s">
        <v>100</v>
      </c>
      <c r="K125" s="121">
        <v>1</v>
      </c>
      <c r="L125" s="253">
        <v>0</v>
      </c>
      <c r="M125" s="254"/>
      <c r="N125" s="251">
        <f aca="true" t="shared" si="7" ref="N125">ROUND(L125*K125,2)</f>
        <v>0</v>
      </c>
      <c r="O125" s="252"/>
      <c r="P125" s="252"/>
      <c r="Q125" s="252"/>
      <c r="R125" s="22"/>
      <c r="T125" s="103"/>
      <c r="U125" s="27"/>
      <c r="V125" s="119"/>
      <c r="W125" s="119"/>
      <c r="X125" s="119"/>
      <c r="Y125" s="119"/>
      <c r="Z125" s="119"/>
      <c r="AA125" s="104"/>
      <c r="BE125" s="80"/>
      <c r="BF125" s="80"/>
      <c r="BG125" s="80"/>
      <c r="BH125" s="80"/>
      <c r="BI125" s="80"/>
      <c r="BK125" s="80"/>
    </row>
    <row r="126" spans="2:63" s="7" customFormat="1" ht="44.25" customHeight="1">
      <c r="B126" s="21"/>
      <c r="C126" s="120">
        <f>C125+1</f>
        <v>9</v>
      </c>
      <c r="D126" s="120"/>
      <c r="E126" s="155"/>
      <c r="F126" s="270" t="s">
        <v>184</v>
      </c>
      <c r="G126" s="271"/>
      <c r="H126" s="271"/>
      <c r="I126" s="272"/>
      <c r="J126" s="159" t="s">
        <v>100</v>
      </c>
      <c r="K126" s="121">
        <v>1</v>
      </c>
      <c r="L126" s="255">
        <v>0</v>
      </c>
      <c r="M126" s="256"/>
      <c r="N126" s="251">
        <f aca="true" t="shared" si="8" ref="N126">ROUND(L126*K126,2)</f>
        <v>0</v>
      </c>
      <c r="O126" s="252"/>
      <c r="P126" s="252"/>
      <c r="Q126" s="252"/>
      <c r="R126" s="22"/>
      <c r="T126" s="103"/>
      <c r="U126" s="27" t="s">
        <v>27</v>
      </c>
      <c r="V126" s="119">
        <v>0.267</v>
      </c>
      <c r="W126" s="119" t="e">
        <f>#REF!*#REF!</f>
        <v>#REF!</v>
      </c>
      <c r="X126" s="119">
        <v>0.0001</v>
      </c>
      <c r="Y126" s="119" t="e">
        <f>#REF!*#REF!</f>
        <v>#REF!</v>
      </c>
      <c r="Z126" s="119">
        <v>0</v>
      </c>
      <c r="AA126" s="104" t="e">
        <f>#REF!*#REF!</f>
        <v>#REF!</v>
      </c>
      <c r="BE126" s="80"/>
      <c r="BF126" s="80"/>
      <c r="BG126" s="80"/>
      <c r="BH126" s="80"/>
      <c r="BI126" s="80"/>
      <c r="BK126" s="80"/>
    </row>
    <row r="127" spans="2:63" s="113" customFormat="1" ht="20.1" customHeight="1">
      <c r="B127" s="100"/>
      <c r="D127" s="112" t="s">
        <v>162</v>
      </c>
      <c r="E127" s="112"/>
      <c r="F127" s="112"/>
      <c r="G127" s="112"/>
      <c r="H127" s="112"/>
      <c r="I127" s="112"/>
      <c r="J127" s="112"/>
      <c r="K127" s="112"/>
      <c r="L127" s="112"/>
      <c r="M127" s="112"/>
      <c r="N127" s="262">
        <f>SUM(N128)</f>
        <v>0</v>
      </c>
      <c r="O127" s="261"/>
      <c r="P127" s="261"/>
      <c r="Q127" s="261"/>
      <c r="R127" s="102"/>
      <c r="T127" s="114"/>
      <c r="W127" s="115" t="e">
        <f>SUM($W$115:$W$124)</f>
        <v>#REF!</v>
      </c>
      <c r="Y127" s="115" t="e">
        <f>SUM($Y$115:$Y$124)</f>
        <v>#REF!</v>
      </c>
      <c r="AA127" s="116" t="e">
        <f>SUM($AA$115:$AA$124)</f>
        <v>#REF!</v>
      </c>
      <c r="AR127" s="164"/>
      <c r="AT127" s="164"/>
      <c r="AU127" s="164"/>
      <c r="AY127" s="164"/>
      <c r="BK127" s="117"/>
    </row>
    <row r="128" spans="2:63" s="7" customFormat="1" ht="77.25" customHeight="1">
      <c r="B128" s="21"/>
      <c r="C128" s="120">
        <f>C126+1</f>
        <v>10</v>
      </c>
      <c r="D128" s="120"/>
      <c r="E128" s="155"/>
      <c r="F128" s="270" t="s">
        <v>239</v>
      </c>
      <c r="G128" s="271"/>
      <c r="H128" s="271"/>
      <c r="I128" s="272"/>
      <c r="J128" s="159" t="s">
        <v>103</v>
      </c>
      <c r="K128" s="121">
        <v>35</v>
      </c>
      <c r="L128" s="253">
        <v>0</v>
      </c>
      <c r="M128" s="254"/>
      <c r="N128" s="251">
        <f aca="true" t="shared" si="9" ref="N128">ROUND(L128*K128,2)</f>
        <v>0</v>
      </c>
      <c r="O128" s="252"/>
      <c r="P128" s="252"/>
      <c r="Q128" s="252"/>
      <c r="R128" s="22"/>
      <c r="T128" s="103"/>
      <c r="U128" s="27"/>
      <c r="V128" s="119"/>
      <c r="W128" s="119"/>
      <c r="X128" s="119"/>
      <c r="Y128" s="119"/>
      <c r="Z128" s="119"/>
      <c r="AA128" s="104"/>
      <c r="BE128" s="80"/>
      <c r="BF128" s="80"/>
      <c r="BG128" s="80"/>
      <c r="BH128" s="80"/>
      <c r="BI128" s="80"/>
      <c r="BK128" s="80"/>
    </row>
    <row r="129" spans="2:63" s="113" customFormat="1" ht="24.95" customHeight="1">
      <c r="B129" s="100"/>
      <c r="D129" s="101" t="s">
        <v>110</v>
      </c>
      <c r="E129" s="101"/>
      <c r="F129" s="193"/>
      <c r="G129" s="193"/>
      <c r="H129" s="193"/>
      <c r="I129" s="193"/>
      <c r="J129" s="101"/>
      <c r="K129" s="101"/>
      <c r="L129" s="101"/>
      <c r="M129" s="101"/>
      <c r="N129" s="279">
        <f>N130+N133+N135</f>
        <v>0</v>
      </c>
      <c r="O129" s="279"/>
      <c r="P129" s="279"/>
      <c r="Q129" s="279"/>
      <c r="R129" s="102"/>
      <c r="T129" s="114"/>
      <c r="W129" s="115"/>
      <c r="Y129" s="115"/>
      <c r="AA129" s="116"/>
      <c r="AR129" s="164"/>
      <c r="AT129" s="164"/>
      <c r="AU129" s="164"/>
      <c r="AY129" s="164"/>
      <c r="BK129" s="117"/>
    </row>
    <row r="130" spans="2:63" s="113" customFormat="1" ht="20.1" customHeight="1">
      <c r="B130" s="100"/>
      <c r="D130" s="112" t="s">
        <v>112</v>
      </c>
      <c r="E130" s="112"/>
      <c r="F130" s="194"/>
      <c r="G130" s="194"/>
      <c r="H130" s="194"/>
      <c r="I130" s="194"/>
      <c r="J130" s="112"/>
      <c r="K130" s="112"/>
      <c r="L130" s="112"/>
      <c r="M130" s="112"/>
      <c r="N130" s="278">
        <f>SUM(N131:Q132)</f>
        <v>0</v>
      </c>
      <c r="O130" s="278"/>
      <c r="P130" s="278"/>
      <c r="Q130" s="278"/>
      <c r="R130" s="102"/>
      <c r="T130" s="114"/>
      <c r="W130" s="115" t="e">
        <f>SUM(#REF!)</f>
        <v>#REF!</v>
      </c>
      <c r="Y130" s="115" t="e">
        <f>SUM(#REF!)</f>
        <v>#REF!</v>
      </c>
      <c r="AA130" s="116" t="e">
        <f>SUM(#REF!)</f>
        <v>#REF!</v>
      </c>
      <c r="AR130" s="164"/>
      <c r="AT130" s="164"/>
      <c r="AU130" s="164"/>
      <c r="AY130" s="164"/>
      <c r="BK130" s="117"/>
    </row>
    <row r="131" spans="2:63" s="7" customFormat="1" ht="69" customHeight="1">
      <c r="B131" s="21"/>
      <c r="C131" s="120">
        <f>C128+1</f>
        <v>11</v>
      </c>
      <c r="D131" s="120"/>
      <c r="E131" s="156"/>
      <c r="F131" s="281" t="s">
        <v>216</v>
      </c>
      <c r="G131" s="282"/>
      <c r="H131" s="282"/>
      <c r="I131" s="283"/>
      <c r="J131" s="159" t="s">
        <v>100</v>
      </c>
      <c r="K131" s="154">
        <v>1</v>
      </c>
      <c r="L131" s="253">
        <v>0</v>
      </c>
      <c r="M131" s="254"/>
      <c r="N131" s="273">
        <f>ROUND(L131*K131,2)</f>
        <v>0</v>
      </c>
      <c r="O131" s="274"/>
      <c r="P131" s="274"/>
      <c r="Q131" s="275"/>
      <c r="R131" s="22"/>
      <c r="T131" s="103"/>
      <c r="U131" s="27"/>
      <c r="V131" s="119"/>
      <c r="W131" s="119"/>
      <c r="X131" s="119"/>
      <c r="Y131" s="119"/>
      <c r="Z131" s="119"/>
      <c r="AA131" s="104"/>
      <c r="BE131" s="80"/>
      <c r="BF131" s="80"/>
      <c r="BG131" s="80"/>
      <c r="BH131" s="80"/>
      <c r="BI131" s="80"/>
      <c r="BK131" s="80"/>
    </row>
    <row r="132" spans="2:63" s="7" customFormat="1" ht="48" customHeight="1">
      <c r="B132" s="21"/>
      <c r="C132" s="120">
        <f>C131+1</f>
        <v>12</v>
      </c>
      <c r="D132" s="166"/>
      <c r="E132" s="156"/>
      <c r="F132" s="281" t="s">
        <v>217</v>
      </c>
      <c r="G132" s="282"/>
      <c r="H132" s="282"/>
      <c r="I132" s="283"/>
      <c r="J132" s="159" t="s">
        <v>100</v>
      </c>
      <c r="K132" s="121">
        <v>1</v>
      </c>
      <c r="L132" s="253">
        <v>0</v>
      </c>
      <c r="M132" s="254"/>
      <c r="N132" s="273">
        <f>ROUND(L132*K132,2)</f>
        <v>0</v>
      </c>
      <c r="O132" s="274"/>
      <c r="P132" s="274"/>
      <c r="Q132" s="275"/>
      <c r="R132" s="22"/>
      <c r="T132" s="103"/>
      <c r="U132" s="27"/>
      <c r="V132" s="119"/>
      <c r="W132" s="119"/>
      <c r="X132" s="119"/>
      <c r="Y132" s="119"/>
      <c r="Z132" s="119"/>
      <c r="AA132" s="104"/>
      <c r="BE132" s="80"/>
      <c r="BF132" s="80"/>
      <c r="BG132" s="80"/>
      <c r="BH132" s="80"/>
      <c r="BI132" s="80"/>
      <c r="BK132" s="80"/>
    </row>
    <row r="133" spans="2:63" s="113" customFormat="1" ht="20.1" customHeight="1">
      <c r="B133" s="100"/>
      <c r="D133" s="112" t="s">
        <v>111</v>
      </c>
      <c r="E133" s="112"/>
      <c r="F133" s="194"/>
      <c r="G133" s="194"/>
      <c r="H133" s="194"/>
      <c r="I133" s="194"/>
      <c r="J133" s="112"/>
      <c r="K133" s="112"/>
      <c r="L133" s="112"/>
      <c r="M133" s="112"/>
      <c r="N133" s="280">
        <f>SUM(N134:Q134)</f>
        <v>0</v>
      </c>
      <c r="O133" s="280"/>
      <c r="P133" s="280"/>
      <c r="Q133" s="280"/>
      <c r="R133" s="102"/>
      <c r="T133" s="114"/>
      <c r="W133" s="115"/>
      <c r="Y133" s="115"/>
      <c r="AA133" s="116"/>
      <c r="AR133" s="164"/>
      <c r="AT133" s="164"/>
      <c r="AU133" s="164"/>
      <c r="AY133" s="164"/>
      <c r="BK133" s="117"/>
    </row>
    <row r="134" spans="2:63" s="7" customFormat="1" ht="49.5" customHeight="1">
      <c r="B134" s="21"/>
      <c r="C134" s="120">
        <f>C132+1</f>
        <v>13</v>
      </c>
      <c r="D134" s="120"/>
      <c r="E134" s="156"/>
      <c r="F134" s="270" t="s">
        <v>240</v>
      </c>
      <c r="G134" s="271"/>
      <c r="H134" s="271"/>
      <c r="I134" s="272"/>
      <c r="J134" s="159" t="s">
        <v>103</v>
      </c>
      <c r="K134" s="121">
        <v>35</v>
      </c>
      <c r="L134" s="253">
        <v>0</v>
      </c>
      <c r="M134" s="254"/>
      <c r="N134" s="273">
        <f aca="true" t="shared" si="10" ref="N134">ROUND(L134*K134,2)</f>
        <v>0</v>
      </c>
      <c r="O134" s="274"/>
      <c r="P134" s="274"/>
      <c r="Q134" s="275"/>
      <c r="R134" s="22"/>
      <c r="T134" s="103"/>
      <c r="U134" s="27"/>
      <c r="V134" s="119"/>
      <c r="W134" s="119"/>
      <c r="X134" s="119"/>
      <c r="Y134" s="119"/>
      <c r="Z134" s="119"/>
      <c r="AA134" s="104"/>
      <c r="BE134" s="80"/>
      <c r="BF134" s="80"/>
      <c r="BG134" s="80"/>
      <c r="BH134" s="80"/>
      <c r="BI134" s="80"/>
      <c r="BK134" s="80"/>
    </row>
    <row r="135" spans="2:63" s="7" customFormat="1" ht="20.1" customHeight="1">
      <c r="B135" s="21"/>
      <c r="C135" s="107"/>
      <c r="D135" s="112" t="s">
        <v>205</v>
      </c>
      <c r="E135" s="112"/>
      <c r="F135" s="194"/>
      <c r="G135" s="194"/>
      <c r="H135" s="194"/>
      <c r="I135" s="194"/>
      <c r="J135" s="112"/>
      <c r="K135" s="112"/>
      <c r="L135" s="112"/>
      <c r="M135" s="112"/>
      <c r="N135" s="280">
        <f>SUM(N136:Q136)</f>
        <v>0</v>
      </c>
      <c r="O135" s="280"/>
      <c r="P135" s="280"/>
      <c r="Q135" s="280"/>
      <c r="R135" s="22"/>
      <c r="T135" s="108"/>
      <c r="U135" s="27"/>
      <c r="V135" s="119"/>
      <c r="W135" s="119"/>
      <c r="X135" s="119"/>
      <c r="Y135" s="119"/>
      <c r="Z135" s="119"/>
      <c r="AA135" s="104"/>
      <c r="BE135" s="80"/>
      <c r="BF135" s="80"/>
      <c r="BG135" s="80"/>
      <c r="BH135" s="80"/>
      <c r="BI135" s="80"/>
      <c r="BK135" s="80"/>
    </row>
    <row r="136" spans="2:63" s="7" customFormat="1" ht="42" customHeight="1">
      <c r="B136" s="21"/>
      <c r="C136" s="120">
        <f>C134+1</f>
        <v>14</v>
      </c>
      <c r="D136" s="120"/>
      <c r="E136" s="156"/>
      <c r="F136" s="270" t="s">
        <v>185</v>
      </c>
      <c r="G136" s="271"/>
      <c r="H136" s="271"/>
      <c r="I136" s="272"/>
      <c r="J136" s="159" t="s">
        <v>100</v>
      </c>
      <c r="K136" s="154">
        <v>1</v>
      </c>
      <c r="L136" s="253">
        <v>0</v>
      </c>
      <c r="M136" s="254"/>
      <c r="N136" s="273">
        <f>ROUND(L136*K136,2)</f>
        <v>0</v>
      </c>
      <c r="O136" s="274"/>
      <c r="P136" s="274"/>
      <c r="Q136" s="275"/>
      <c r="R136" s="22"/>
      <c r="T136" s="103"/>
      <c r="U136" s="27"/>
      <c r="V136" s="119"/>
      <c r="W136" s="119"/>
      <c r="X136" s="119"/>
      <c r="Y136" s="119"/>
      <c r="Z136" s="119"/>
      <c r="AA136" s="104"/>
      <c r="BE136" s="80"/>
      <c r="BF136" s="80"/>
      <c r="BG136" s="80"/>
      <c r="BH136" s="80"/>
      <c r="BI136" s="80"/>
      <c r="BK136" s="80"/>
    </row>
    <row r="137" spans="2:63" s="113" customFormat="1" ht="24.95" customHeight="1">
      <c r="B137" s="100"/>
      <c r="D137" s="101" t="s">
        <v>117</v>
      </c>
      <c r="E137" s="101"/>
      <c r="F137" s="193"/>
      <c r="G137" s="193"/>
      <c r="H137" s="193"/>
      <c r="I137" s="193"/>
      <c r="J137" s="101"/>
      <c r="K137" s="101"/>
      <c r="L137" s="101"/>
      <c r="M137" s="101"/>
      <c r="N137" s="279">
        <f>N141+N138</f>
        <v>0</v>
      </c>
      <c r="O137" s="279"/>
      <c r="P137" s="279"/>
      <c r="Q137" s="279"/>
      <c r="R137" s="102"/>
      <c r="T137" s="114"/>
      <c r="W137" s="115"/>
      <c r="Y137" s="115"/>
      <c r="AA137" s="116"/>
      <c r="AR137" s="164"/>
      <c r="AT137" s="164"/>
      <c r="AU137" s="164"/>
      <c r="AY137" s="164"/>
      <c r="BK137" s="117"/>
    </row>
    <row r="138" spans="2:63" s="113" customFormat="1" ht="20.1" customHeight="1">
      <c r="B138" s="100"/>
      <c r="D138" s="112" t="s">
        <v>113</v>
      </c>
      <c r="E138" s="112"/>
      <c r="F138" s="194"/>
      <c r="G138" s="194"/>
      <c r="H138" s="194"/>
      <c r="I138" s="194"/>
      <c r="J138" s="112"/>
      <c r="K138" s="112"/>
      <c r="L138" s="112"/>
      <c r="M138" s="112"/>
      <c r="N138" s="278">
        <f>SUM(N139:Q140)</f>
        <v>0</v>
      </c>
      <c r="O138" s="278"/>
      <c r="P138" s="278"/>
      <c r="Q138" s="278"/>
      <c r="R138" s="102"/>
      <c r="T138" s="114"/>
      <c r="W138" s="115"/>
      <c r="Y138" s="115"/>
      <c r="AA138" s="116"/>
      <c r="AR138" s="164"/>
      <c r="AT138" s="164"/>
      <c r="AU138" s="164"/>
      <c r="AY138" s="164"/>
      <c r="BK138" s="117"/>
    </row>
    <row r="139" spans="2:63" s="7" customFormat="1" ht="54" customHeight="1">
      <c r="B139" s="21"/>
      <c r="C139" s="120">
        <f>C136+1</f>
        <v>15</v>
      </c>
      <c r="D139" s="120"/>
      <c r="E139" s="156"/>
      <c r="F139" s="270" t="s">
        <v>168</v>
      </c>
      <c r="G139" s="271"/>
      <c r="H139" s="271"/>
      <c r="I139" s="272"/>
      <c r="J139" s="159" t="s">
        <v>100</v>
      </c>
      <c r="K139" s="121">
        <v>1</v>
      </c>
      <c r="L139" s="253">
        <v>0</v>
      </c>
      <c r="M139" s="254"/>
      <c r="N139" s="273">
        <f aca="true" t="shared" si="11" ref="N139">ROUND(L139*K139,2)</f>
        <v>0</v>
      </c>
      <c r="O139" s="274"/>
      <c r="P139" s="274"/>
      <c r="Q139" s="275"/>
      <c r="R139" s="22"/>
      <c r="T139" s="103"/>
      <c r="U139" s="27"/>
      <c r="V139" s="119"/>
      <c r="W139" s="119"/>
      <c r="X139" s="119"/>
      <c r="Y139" s="119"/>
      <c r="Z139" s="119"/>
      <c r="AA139" s="104"/>
      <c r="BE139" s="80"/>
      <c r="BF139" s="80"/>
      <c r="BG139" s="80"/>
      <c r="BH139" s="80"/>
      <c r="BI139" s="80"/>
      <c r="BK139" s="80"/>
    </row>
    <row r="140" spans="2:63" s="7" customFormat="1" ht="45" customHeight="1">
      <c r="B140" s="21"/>
      <c r="C140" s="120">
        <f>C139+1</f>
        <v>16</v>
      </c>
      <c r="D140" s="120"/>
      <c r="E140" s="156"/>
      <c r="F140" s="270" t="s">
        <v>167</v>
      </c>
      <c r="G140" s="271"/>
      <c r="H140" s="271"/>
      <c r="I140" s="272"/>
      <c r="J140" s="159" t="s">
        <v>100</v>
      </c>
      <c r="K140" s="121">
        <v>1</v>
      </c>
      <c r="L140" s="253">
        <v>0</v>
      </c>
      <c r="M140" s="254"/>
      <c r="N140" s="273">
        <f>ROUND(L140*K140,2)</f>
        <v>0</v>
      </c>
      <c r="O140" s="274"/>
      <c r="P140" s="274"/>
      <c r="Q140" s="275"/>
      <c r="R140" s="22"/>
      <c r="T140" s="103"/>
      <c r="U140" s="27"/>
      <c r="V140" s="119"/>
      <c r="W140" s="119"/>
      <c r="X140" s="119"/>
      <c r="Y140" s="119"/>
      <c r="Z140" s="119"/>
      <c r="AA140" s="104"/>
      <c r="BE140" s="80"/>
      <c r="BF140" s="80"/>
      <c r="BG140" s="80"/>
      <c r="BH140" s="80"/>
      <c r="BI140" s="80"/>
      <c r="BK140" s="80"/>
    </row>
    <row r="141" spans="2:63" s="113" customFormat="1" ht="20.1" customHeight="1">
      <c r="B141" s="100"/>
      <c r="D141" s="112" t="s">
        <v>158</v>
      </c>
      <c r="E141" s="112"/>
      <c r="F141" s="194"/>
      <c r="G141" s="194"/>
      <c r="H141" s="194"/>
      <c r="I141" s="194"/>
      <c r="J141" s="112"/>
      <c r="K141" s="112"/>
      <c r="L141" s="112"/>
      <c r="M141" s="112"/>
      <c r="N141" s="280">
        <f>SUM(N142:Q143)</f>
        <v>0</v>
      </c>
      <c r="O141" s="280"/>
      <c r="P141" s="280"/>
      <c r="Q141" s="280"/>
      <c r="R141" s="102"/>
      <c r="T141" s="114"/>
      <c r="W141" s="115"/>
      <c r="Y141" s="115"/>
      <c r="AA141" s="116"/>
      <c r="AR141" s="164"/>
      <c r="AT141" s="164"/>
      <c r="AU141" s="164"/>
      <c r="AY141" s="164"/>
      <c r="BK141" s="117"/>
    </row>
    <row r="142" spans="2:63" s="7" customFormat="1" ht="72.75" customHeight="1">
      <c r="B142" s="21"/>
      <c r="C142" s="120">
        <f>C140+1</f>
        <v>17</v>
      </c>
      <c r="D142" s="120"/>
      <c r="E142" s="155"/>
      <c r="F142" s="270" t="s">
        <v>166</v>
      </c>
      <c r="G142" s="271"/>
      <c r="H142" s="271"/>
      <c r="I142" s="272"/>
      <c r="J142" s="158" t="s">
        <v>100</v>
      </c>
      <c r="K142" s="121">
        <v>1</v>
      </c>
      <c r="L142" s="253">
        <v>0</v>
      </c>
      <c r="M142" s="254"/>
      <c r="N142" s="273">
        <f>ROUND(L142*K142,2)</f>
        <v>0</v>
      </c>
      <c r="O142" s="274"/>
      <c r="P142" s="274"/>
      <c r="Q142" s="275"/>
      <c r="R142" s="22"/>
      <c r="T142" s="108"/>
      <c r="U142" s="27"/>
      <c r="V142" s="119"/>
      <c r="W142" s="119"/>
      <c r="X142" s="119"/>
      <c r="Y142" s="119"/>
      <c r="Z142" s="119"/>
      <c r="AA142" s="104"/>
      <c r="BE142" s="80"/>
      <c r="BF142" s="80"/>
      <c r="BG142" s="80"/>
      <c r="BH142" s="80"/>
      <c r="BI142" s="80"/>
      <c r="BK142" s="80"/>
    </row>
    <row r="143" spans="2:63" s="7" customFormat="1" ht="56.25" customHeight="1">
      <c r="B143" s="21"/>
      <c r="C143" s="120">
        <f>C142+1</f>
        <v>18</v>
      </c>
      <c r="D143" s="120"/>
      <c r="E143" s="155"/>
      <c r="F143" s="270" t="s">
        <v>150</v>
      </c>
      <c r="G143" s="271"/>
      <c r="H143" s="271"/>
      <c r="I143" s="272"/>
      <c r="J143" s="159" t="s">
        <v>100</v>
      </c>
      <c r="K143" s="121">
        <v>1</v>
      </c>
      <c r="L143" s="253">
        <v>0</v>
      </c>
      <c r="M143" s="254"/>
      <c r="N143" s="273">
        <f>ROUND(L143*K143,2)</f>
        <v>0</v>
      </c>
      <c r="O143" s="274"/>
      <c r="P143" s="274"/>
      <c r="Q143" s="275"/>
      <c r="R143" s="22"/>
      <c r="T143" s="108"/>
      <c r="U143" s="27"/>
      <c r="V143" s="119"/>
      <c r="W143" s="119"/>
      <c r="X143" s="119"/>
      <c r="Y143" s="119"/>
      <c r="Z143" s="119"/>
      <c r="AA143" s="104"/>
      <c r="BE143" s="80"/>
      <c r="BF143" s="80"/>
      <c r="BG143" s="80"/>
      <c r="BH143" s="80"/>
      <c r="BI143" s="80"/>
      <c r="BK143" s="80"/>
    </row>
    <row r="144" spans="2:63" s="7" customFormat="1" ht="24.95" customHeight="1">
      <c r="B144" s="21"/>
      <c r="C144" s="107"/>
      <c r="D144" s="101" t="s">
        <v>180</v>
      </c>
      <c r="E144" s="101"/>
      <c r="F144" s="193"/>
      <c r="G144" s="193"/>
      <c r="H144" s="193"/>
      <c r="I144" s="193"/>
      <c r="J144" s="101"/>
      <c r="K144" s="101"/>
      <c r="L144" s="101"/>
      <c r="M144" s="101"/>
      <c r="N144" s="279">
        <f>N145+N147</f>
        <v>0</v>
      </c>
      <c r="O144" s="279"/>
      <c r="P144" s="279"/>
      <c r="Q144" s="279"/>
      <c r="R144" s="22"/>
      <c r="T144" s="26"/>
      <c r="U144" s="27"/>
      <c r="V144" s="119"/>
      <c r="W144" s="119"/>
      <c r="X144" s="119"/>
      <c r="Y144" s="119"/>
      <c r="Z144" s="119"/>
      <c r="AA144" s="119"/>
      <c r="BE144" s="80"/>
      <c r="BF144" s="80"/>
      <c r="BG144" s="80"/>
      <c r="BH144" s="80"/>
      <c r="BI144" s="80"/>
      <c r="BK144" s="80"/>
    </row>
    <row r="145" spans="1:18" ht="20.1" customHeight="1">
      <c r="A145" s="133"/>
      <c r="B145" s="21"/>
      <c r="C145" s="107"/>
      <c r="D145" s="112" t="s">
        <v>179</v>
      </c>
      <c r="E145" s="112"/>
      <c r="F145" s="194"/>
      <c r="G145" s="194"/>
      <c r="H145" s="194"/>
      <c r="I145" s="194"/>
      <c r="J145" s="112"/>
      <c r="K145" s="112"/>
      <c r="L145" s="112"/>
      <c r="M145" s="112"/>
      <c r="N145" s="278">
        <f>SUM(N146)</f>
        <v>0</v>
      </c>
      <c r="O145" s="278"/>
      <c r="P145" s="278"/>
      <c r="Q145" s="278"/>
      <c r="R145" s="22"/>
    </row>
    <row r="146" spans="2:18" ht="75" customHeight="1">
      <c r="B146" s="21"/>
      <c r="C146" s="143">
        <f>C143+1</f>
        <v>19</v>
      </c>
      <c r="D146" s="144"/>
      <c r="E146" s="157"/>
      <c r="F146" s="270" t="s">
        <v>226</v>
      </c>
      <c r="G146" s="271"/>
      <c r="H146" s="271"/>
      <c r="I146" s="272"/>
      <c r="J146" s="160" t="s">
        <v>100</v>
      </c>
      <c r="K146" s="145">
        <v>1</v>
      </c>
      <c r="L146" s="276">
        <v>0</v>
      </c>
      <c r="M146" s="277"/>
      <c r="N146" s="273">
        <f>ROUND(L146*K146,2)</f>
        <v>0</v>
      </c>
      <c r="O146" s="274"/>
      <c r="P146" s="274"/>
      <c r="Q146" s="275"/>
      <c r="R146" s="22"/>
    </row>
    <row r="147" spans="1:18" ht="20.1" customHeight="1">
      <c r="A147" s="133"/>
      <c r="B147" s="21"/>
      <c r="C147" s="107"/>
      <c r="D147" s="112" t="s">
        <v>206</v>
      </c>
      <c r="E147" s="112"/>
      <c r="F147" s="194"/>
      <c r="G147" s="194"/>
      <c r="H147" s="194"/>
      <c r="I147" s="194"/>
      <c r="J147" s="112"/>
      <c r="K147" s="112"/>
      <c r="L147" s="112"/>
      <c r="M147" s="112"/>
      <c r="N147" s="278">
        <f>SUM(N148:Q148)</f>
        <v>0</v>
      </c>
      <c r="O147" s="278"/>
      <c r="P147" s="278"/>
      <c r="Q147" s="278"/>
      <c r="R147" s="22"/>
    </row>
    <row r="148" spans="2:18" ht="76.5" customHeight="1">
      <c r="B148" s="21"/>
      <c r="C148" s="143">
        <f>C146+1</f>
        <v>20</v>
      </c>
      <c r="D148" s="144"/>
      <c r="E148" s="157"/>
      <c r="F148" s="270" t="s">
        <v>227</v>
      </c>
      <c r="G148" s="271"/>
      <c r="H148" s="271"/>
      <c r="I148" s="272"/>
      <c r="J148" s="160" t="s">
        <v>100</v>
      </c>
      <c r="K148" s="145">
        <v>1</v>
      </c>
      <c r="L148" s="276">
        <v>0</v>
      </c>
      <c r="M148" s="277"/>
      <c r="N148" s="273">
        <f>ROUND(L148*K148,2)</f>
        <v>0</v>
      </c>
      <c r="O148" s="274"/>
      <c r="P148" s="274"/>
      <c r="Q148" s="275"/>
      <c r="R148" s="22"/>
    </row>
    <row r="149" spans="2:63" s="7" customFormat="1" ht="24.95" customHeight="1">
      <c r="B149" s="21"/>
      <c r="C149" s="107"/>
      <c r="D149" s="101" t="s">
        <v>207</v>
      </c>
      <c r="E149" s="101"/>
      <c r="F149" s="193"/>
      <c r="G149" s="193"/>
      <c r="H149" s="193"/>
      <c r="I149" s="193"/>
      <c r="J149" s="101"/>
      <c r="K149" s="101"/>
      <c r="L149" s="101"/>
      <c r="M149" s="101"/>
      <c r="N149" s="279">
        <f>N150</f>
        <v>0</v>
      </c>
      <c r="O149" s="279"/>
      <c r="P149" s="279"/>
      <c r="Q149" s="279"/>
      <c r="R149" s="22"/>
      <c r="T149" s="26"/>
      <c r="U149" s="27"/>
      <c r="V149" s="119"/>
      <c r="W149" s="119"/>
      <c r="X149" s="119"/>
      <c r="Y149" s="119"/>
      <c r="Z149" s="119"/>
      <c r="AA149" s="119"/>
      <c r="BE149" s="80"/>
      <c r="BF149" s="80"/>
      <c r="BG149" s="80"/>
      <c r="BH149" s="80"/>
      <c r="BI149" s="80"/>
      <c r="BK149" s="80"/>
    </row>
    <row r="150" spans="1:18" ht="20.1" customHeight="1">
      <c r="A150" s="133"/>
      <c r="B150" s="21"/>
      <c r="C150" s="107"/>
      <c r="D150" s="112" t="s">
        <v>208</v>
      </c>
      <c r="E150" s="112"/>
      <c r="F150" s="194"/>
      <c r="G150" s="194"/>
      <c r="H150" s="194"/>
      <c r="I150" s="194"/>
      <c r="J150" s="112"/>
      <c r="K150" s="112"/>
      <c r="L150" s="112"/>
      <c r="M150" s="112"/>
      <c r="N150" s="278">
        <f>SUM(N151:Q151)</f>
        <v>0</v>
      </c>
      <c r="O150" s="278"/>
      <c r="P150" s="278"/>
      <c r="Q150" s="278"/>
      <c r="R150" s="22"/>
    </row>
    <row r="151" spans="2:18" ht="83.25" customHeight="1">
      <c r="B151" s="21"/>
      <c r="C151" s="143">
        <f>C148+1</f>
        <v>21</v>
      </c>
      <c r="D151" s="144"/>
      <c r="E151" s="157"/>
      <c r="F151" s="270" t="s">
        <v>228</v>
      </c>
      <c r="G151" s="271"/>
      <c r="H151" s="271"/>
      <c r="I151" s="272"/>
      <c r="J151" s="160" t="s">
        <v>100</v>
      </c>
      <c r="K151" s="145">
        <v>1</v>
      </c>
      <c r="L151" s="276">
        <v>0</v>
      </c>
      <c r="M151" s="277"/>
      <c r="N151" s="273">
        <f>ROUND(L151*K151,2)</f>
        <v>0</v>
      </c>
      <c r="O151" s="274"/>
      <c r="P151" s="274"/>
      <c r="Q151" s="275"/>
      <c r="R151" s="22"/>
    </row>
    <row r="152" spans="2:18" ht="14.25" customHeight="1"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110"/>
    </row>
  </sheetData>
  <sheetProtection algorithmName="SHA-512" hashValue="7KQZaqHCws/nLvLJRYueAZSeCAqwWBOkAurxjpKlTh3xjCAzV3YaTNJuJTutBVGul9CxqjoBhKsHkZyQrz8/7g==" saltValue="SEuKW1zdN43Kwfrlw25mrg==" spinCount="100000" sheet="1" objects="1" scenarios="1" selectLockedCells="1"/>
  <mergeCells count="141">
    <mergeCell ref="N144:Q144"/>
    <mergeCell ref="F139:I139"/>
    <mergeCell ref="F122:I122"/>
    <mergeCell ref="L124:M124"/>
    <mergeCell ref="N149:Q149"/>
    <mergeCell ref="N150:Q150"/>
    <mergeCell ref="F151:I151"/>
    <mergeCell ref="L151:M151"/>
    <mergeCell ref="N151:Q151"/>
    <mergeCell ref="N137:Q137"/>
    <mergeCell ref="F142:I142"/>
    <mergeCell ref="L134:M134"/>
    <mergeCell ref="F134:I134"/>
    <mergeCell ref="L132:M132"/>
    <mergeCell ref="L131:M131"/>
    <mergeCell ref="F132:I132"/>
    <mergeCell ref="N139:Q139"/>
    <mergeCell ref="L136:M136"/>
    <mergeCell ref="N136:Q136"/>
    <mergeCell ref="F136:I136"/>
    <mergeCell ref="N135:Q135"/>
    <mergeCell ref="N134:Q134"/>
    <mergeCell ref="N130:Q130"/>
    <mergeCell ref="F131:I131"/>
    <mergeCell ref="N92:Q92"/>
    <mergeCell ref="F148:I148"/>
    <mergeCell ref="L148:M148"/>
    <mergeCell ref="N147:Q147"/>
    <mergeCell ref="N148:Q148"/>
    <mergeCell ref="F146:I146"/>
    <mergeCell ref="L146:M146"/>
    <mergeCell ref="N146:Q146"/>
    <mergeCell ref="N145:Q145"/>
    <mergeCell ref="N132:Q132"/>
    <mergeCell ref="N129:Q129"/>
    <mergeCell ref="N133:Q133"/>
    <mergeCell ref="N142:Q142"/>
    <mergeCell ref="N141:Q141"/>
    <mergeCell ref="N138:Q138"/>
    <mergeCell ref="L140:M140"/>
    <mergeCell ref="L139:M139"/>
    <mergeCell ref="F124:I124"/>
    <mergeCell ref="N124:Q124"/>
    <mergeCell ref="N122:Q122"/>
    <mergeCell ref="N121:Q121"/>
    <mergeCell ref="L122:M122"/>
    <mergeCell ref="F121:I121"/>
    <mergeCell ref="L121:M121"/>
    <mergeCell ref="N131:Q131"/>
    <mergeCell ref="N123:Q123"/>
    <mergeCell ref="N143:Q143"/>
    <mergeCell ref="L142:M142"/>
    <mergeCell ref="F140:I140"/>
    <mergeCell ref="N140:Q140"/>
    <mergeCell ref="F143:I143"/>
    <mergeCell ref="L143:M143"/>
    <mergeCell ref="F125:I125"/>
    <mergeCell ref="L125:M125"/>
    <mergeCell ref="N125:Q125"/>
    <mergeCell ref="N127:Q127"/>
    <mergeCell ref="F128:I128"/>
    <mergeCell ref="L128:M128"/>
    <mergeCell ref="N128:Q128"/>
    <mergeCell ref="F126:I126"/>
    <mergeCell ref="L126:M126"/>
    <mergeCell ref="N126:Q126"/>
    <mergeCell ref="L94:Q94"/>
    <mergeCell ref="F115:I115"/>
    <mergeCell ref="L111:M111"/>
    <mergeCell ref="N111:Q111"/>
    <mergeCell ref="F103:P103"/>
    <mergeCell ref="F104:P104"/>
    <mergeCell ref="M109:Q109"/>
    <mergeCell ref="N117:Q117"/>
    <mergeCell ref="N120:Q120"/>
    <mergeCell ref="M108:Q108"/>
    <mergeCell ref="F116:I116"/>
    <mergeCell ref="L116:M116"/>
    <mergeCell ref="N116:Q116"/>
    <mergeCell ref="F118:I118"/>
    <mergeCell ref="L119:M119"/>
    <mergeCell ref="F119:I119"/>
    <mergeCell ref="N119:Q119"/>
    <mergeCell ref="F111:I111"/>
    <mergeCell ref="H1:K1"/>
    <mergeCell ref="N118:Q118"/>
    <mergeCell ref="H31:J31"/>
    <mergeCell ref="M31:P31"/>
    <mergeCell ref="H32:J32"/>
    <mergeCell ref="M32:P32"/>
    <mergeCell ref="F102:P102"/>
    <mergeCell ref="L115:M115"/>
    <mergeCell ref="L118:M118"/>
    <mergeCell ref="M106:P106"/>
    <mergeCell ref="F81:K81"/>
    <mergeCell ref="L35:P35"/>
    <mergeCell ref="C75:Q75"/>
    <mergeCell ref="F77:P77"/>
    <mergeCell ref="F78:P78"/>
    <mergeCell ref="F79:P79"/>
    <mergeCell ref="M81:P81"/>
    <mergeCell ref="C100:Q100"/>
    <mergeCell ref="N91:Q91"/>
    <mergeCell ref="N115:Q115"/>
    <mergeCell ref="N112:Q112"/>
    <mergeCell ref="N113:Q113"/>
    <mergeCell ref="N114:Q114"/>
    <mergeCell ref="C86:G86"/>
    <mergeCell ref="M83:Q83"/>
    <mergeCell ref="M84:Q84"/>
    <mergeCell ref="N90:Q90"/>
    <mergeCell ref="K37:M37"/>
    <mergeCell ref="O15:P15"/>
    <mergeCell ref="N88:Q88"/>
    <mergeCell ref="N89:Q89"/>
    <mergeCell ref="N86:Q86"/>
    <mergeCell ref="N87:Q87"/>
    <mergeCell ref="S2:AC2"/>
    <mergeCell ref="H33:J33"/>
    <mergeCell ref="M33:P33"/>
    <mergeCell ref="E16:L16"/>
    <mergeCell ref="O16:P16"/>
    <mergeCell ref="O18:P18"/>
    <mergeCell ref="O19:P19"/>
    <mergeCell ref="O21:P21"/>
    <mergeCell ref="O22:P22"/>
    <mergeCell ref="M25:P25"/>
    <mergeCell ref="M27:P27"/>
    <mergeCell ref="H29:J29"/>
    <mergeCell ref="M29:P29"/>
    <mergeCell ref="C2:Q2"/>
    <mergeCell ref="C4:Q4"/>
    <mergeCell ref="F6:P6"/>
    <mergeCell ref="H30:J30"/>
    <mergeCell ref="M30:P30"/>
    <mergeCell ref="F7:P7"/>
    <mergeCell ref="F8:P8"/>
    <mergeCell ref="O10:P10"/>
    <mergeCell ref="F10:L10"/>
    <mergeCell ref="O12:P12"/>
    <mergeCell ref="O13:P13"/>
  </mergeCells>
  <hyperlinks>
    <hyperlink ref="F1:G1" location="C2" tooltip="Krycí list rozpočtu" display="1) Krycí list rozpočtu"/>
    <hyperlink ref="H1:K1" location="'SO01'!C93" tooltip="Rekapitulace rozpočtu" display="2) Rekapitulace rozpočtu"/>
    <hyperlink ref="L1" location="'SO01'!C115" tooltip="Rozpočet" display="3) Rozpočet"/>
    <hyperlink ref="S1:T1" location="'Rekapitulace stavby'!C2" tooltip="Rekapitulace stavby" display="Rekapitulace stavby"/>
    <hyperlink ref="S1" location="Rekapitulace!C4" tooltip="Rekapitulace stavby" display="Rekapitulace stavby"/>
    <hyperlink ref="F1" location="'SO01'!C4" tooltip="Krycí list rozpočtu" display="1) Krycí list rozpočtu"/>
  </hyperlinks>
  <printOptions/>
  <pageMargins left="0.5905511811023623" right="0.5905511811023623" top="0.5905511811023623" bottom="0.5905511811023623" header="0" footer="0"/>
  <pageSetup blackAndWhite="1" fitToHeight="9" fitToWidth="2" horizontalDpi="600" verticalDpi="600" orientation="portrait" paperSize="9" scale="92" r:id="rId2"/>
  <headerFooter alignWithMargins="0">
    <oddFooter>&amp;CStrana &amp;P z &amp;N</oddFooter>
  </headerFooter>
  <ignoredErrors>
    <ignoredError sqref="N141 N135 N133 N127 N123 N120 N11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F325-4CEA-479C-ADD7-C454DE153938}">
  <dimension ref="B1:BK115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L112" sqref="L112:M112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50" t="s">
        <v>107</v>
      </c>
      <c r="I1" s="250"/>
      <c r="J1" s="250"/>
      <c r="K1" s="250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244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16" t="s">
        <v>3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1" t="s">
        <v>74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45" t="str">
        <f>Rekapitulace!$K$6</f>
        <v>Instalace nové fotovoltaické elektrárny s výkonem 4 257,54 kWp v areálu Potěhy společnosti ČEPRO, a.s.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R6" s="12"/>
    </row>
    <row r="7" spans="2:18" ht="24.95" customHeight="1">
      <c r="B7" s="11"/>
      <c r="D7" s="18" t="s">
        <v>75</v>
      </c>
      <c r="F7" s="245" t="str">
        <f>Rekapitulace!J88</f>
        <v>Umístění dvou nových prefabrikovaných trafostanic o výkonu 2 500 kVA a 2 250 kVA, včetně vybavení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R7" s="12"/>
    </row>
    <row r="8" spans="2:18" s="7" customFormat="1" ht="33.75" customHeight="1">
      <c r="B8" s="21"/>
      <c r="D8" s="17" t="s">
        <v>76</v>
      </c>
      <c r="F8" s="228" t="str">
        <f>Rekapitulace!J88</f>
        <v>Umístění dvou nových prefabrikovaných trafostanic o výkonu 2 500 kVA a 2 250 kVA, včetně vybavení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Potěhy</v>
      </c>
      <c r="G10" s="212"/>
      <c r="H10" s="212"/>
      <c r="I10" s="212"/>
      <c r="J10" s="212"/>
      <c r="K10" s="212"/>
      <c r="L10" s="212"/>
      <c r="M10" s="18" t="s">
        <v>16</v>
      </c>
      <c r="O10" s="246">
        <f ca="1">Rekapitulace!$AN$8</f>
        <v>45268</v>
      </c>
      <c r="P10" s="246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1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1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1" t="str">
        <f>IF(Rekapitulace!$AN$13="","",Rekapitulace!$AN$13)</f>
        <v>Vyplň údaj</v>
      </c>
      <c r="P15" s="242"/>
      <c r="R15" s="22"/>
    </row>
    <row r="16" spans="2:18" s="7" customFormat="1" ht="18.75" customHeight="1">
      <c r="B16" s="21"/>
      <c r="E16" s="241" t="str">
        <f>IF(Rekapitulace!$E$14="","",Rekapitulace!$E$14)</f>
        <v>Vyplň údaj</v>
      </c>
      <c r="F16" s="242"/>
      <c r="G16" s="242"/>
      <c r="H16" s="242"/>
      <c r="I16" s="242"/>
      <c r="J16" s="242"/>
      <c r="K16" s="242"/>
      <c r="L16" s="242"/>
      <c r="M16" s="18" t="s">
        <v>19</v>
      </c>
      <c r="O16" s="241" t="str">
        <f>IF(Rekapitulace!$AN$14="","",Rekapitulace!$AN$14)</f>
        <v>Vyplň údaj</v>
      </c>
      <c r="P16" s="242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1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1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1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1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39">
        <f>$N$88</f>
        <v>0</v>
      </c>
      <c r="N25" s="211"/>
      <c r="O25" s="211"/>
      <c r="P25" s="211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3">
        <f>ROUND($M$25,2)</f>
        <v>0</v>
      </c>
      <c r="N27" s="211"/>
      <c r="O27" s="211"/>
      <c r="P27" s="211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0">
        <f>M27</f>
        <v>0</v>
      </c>
      <c r="I29" s="211"/>
      <c r="J29" s="211"/>
      <c r="M29" s="240">
        <f>(H29)*$F$29</f>
        <v>0</v>
      </c>
      <c r="N29" s="211"/>
      <c r="O29" s="211"/>
      <c r="P29" s="211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0">
        <v>0</v>
      </c>
      <c r="I30" s="211"/>
      <c r="J30" s="211"/>
      <c r="M30" s="240">
        <v>0</v>
      </c>
      <c r="N30" s="211"/>
      <c r="O30" s="211"/>
      <c r="P30" s="211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0">
        <f>(SUM($BG$90:$BG$90)+SUM($BG$109:$BG$113))</f>
        <v>0</v>
      </c>
      <c r="I31" s="211"/>
      <c r="J31" s="211"/>
      <c r="M31" s="240">
        <v>0</v>
      </c>
      <c r="N31" s="211"/>
      <c r="O31" s="211"/>
      <c r="P31" s="211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0">
        <f>(SUM($BH$90:$BH$90)+SUM($BH$109:$BH$113))</f>
        <v>0</v>
      </c>
      <c r="I32" s="211"/>
      <c r="J32" s="211"/>
      <c r="M32" s="240">
        <v>0</v>
      </c>
      <c r="N32" s="211"/>
      <c r="O32" s="211"/>
      <c r="P32" s="211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0">
        <f>(SUM($BI$90:$BI$90)+SUM($BI$109:$BI$113))</f>
        <v>0</v>
      </c>
      <c r="I33" s="211"/>
      <c r="J33" s="211"/>
      <c r="M33" s="240">
        <v>0</v>
      </c>
      <c r="N33" s="211"/>
      <c r="O33" s="211"/>
      <c r="P33" s="211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58">
        <f>ROUND(SUM($M$27:$M$33),2)</f>
        <v>0</v>
      </c>
      <c r="M35" s="198"/>
      <c r="N35" s="198"/>
      <c r="O35" s="198"/>
      <c r="P35" s="198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1" t="s">
        <v>78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45" t="str">
        <f>$F$6</f>
        <v>Instalace nové fotovoltaické elektrárny s výkonem 4 257,54 kWp v areálu Potěhy společnosti ČEPRO, a.s.</v>
      </c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R77" s="22"/>
    </row>
    <row r="78" spans="2:18" ht="24.95" customHeight="1">
      <c r="B78" s="11"/>
      <c r="C78" s="18" t="s">
        <v>75</v>
      </c>
      <c r="F78" s="245" t="str">
        <f>F7</f>
        <v>Umístění dvou nových prefabrikovaných trafostanic o výkonu 2 500 kVA a 2 250 kVA, včetně vybavení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R78" s="12"/>
    </row>
    <row r="79" spans="2:18" s="7" customFormat="1" ht="37.5" customHeight="1">
      <c r="B79" s="21"/>
      <c r="C79" s="50" t="s">
        <v>76</v>
      </c>
      <c r="F79" s="210" t="str">
        <f>F8</f>
        <v>Umístění dvou nových prefabrikovaných trafostanic o výkonu 2 500 kVA a 2 250 kVA, včetně vybavení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57" t="str">
        <f>$F$10</f>
        <v>Potěhy</v>
      </c>
      <c r="G81" s="257"/>
      <c r="H81" s="257"/>
      <c r="I81" s="257"/>
      <c r="J81" s="257"/>
      <c r="K81" s="257"/>
      <c r="L81" s="18" t="s">
        <v>16</v>
      </c>
      <c r="M81" s="213">
        <f ca="1">IF($O$10="","",$O$10)</f>
        <v>45268</v>
      </c>
      <c r="N81" s="211"/>
      <c r="O81" s="211"/>
      <c r="P81" s="211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1"/>
      <c r="O83" s="211"/>
      <c r="P83" s="211"/>
      <c r="Q83" s="211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1"/>
      <c r="O84" s="211"/>
      <c r="P84" s="211"/>
      <c r="Q84" s="211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3" t="s">
        <v>79</v>
      </c>
      <c r="D86" s="198"/>
      <c r="E86" s="198"/>
      <c r="F86" s="198"/>
      <c r="G86" s="198"/>
      <c r="H86" s="29"/>
      <c r="I86" s="29"/>
      <c r="J86" s="29"/>
      <c r="K86" s="29"/>
      <c r="L86" s="29"/>
      <c r="M86" s="29"/>
      <c r="N86" s="249" t="s">
        <v>80</v>
      </c>
      <c r="O86" s="211"/>
      <c r="P86" s="211"/>
      <c r="Q86" s="211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06">
        <f>ROUND($N$109,2)</f>
        <v>0</v>
      </c>
      <c r="O88" s="211"/>
      <c r="P88" s="211"/>
      <c r="Q88" s="211"/>
      <c r="R88" s="22"/>
    </row>
    <row r="89" spans="2:18" s="63" customFormat="1" ht="20.1" customHeight="1">
      <c r="B89" s="89"/>
      <c r="D89" s="101" t="str">
        <f>D110</f>
        <v xml:space="preserve">Nové trafostanice </v>
      </c>
      <c r="N89" s="247">
        <f>$N$110</f>
        <v>0</v>
      </c>
      <c r="O89" s="248"/>
      <c r="P89" s="248"/>
      <c r="Q89" s="248"/>
      <c r="R89" s="90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197">
        <f>ROUND(SUM($N$89:$Q$89),2)</f>
        <v>0</v>
      </c>
      <c r="M91" s="198"/>
      <c r="N91" s="198"/>
      <c r="O91" s="198"/>
      <c r="P91" s="198"/>
      <c r="Q91" s="198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31" t="s">
        <v>83</v>
      </c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45" t="str">
        <f>$F$6</f>
        <v>Instalace nové fotovoltaické elektrárny s výkonem 4 257,54 kWp v areálu Potěhy společnosti ČEPRO, a.s.</v>
      </c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R99" s="131"/>
    </row>
    <row r="100" spans="2:18" ht="24.95" customHeight="1">
      <c r="B100" s="132"/>
      <c r="C100" s="18" t="s">
        <v>75</v>
      </c>
      <c r="F100" s="245" t="str">
        <f>F7</f>
        <v>Umístění dvou nových prefabrikovaných trafostanic o výkonu 2 500 kVA a 2 250 kVA, včetně vybavení</v>
      </c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R100" s="133"/>
    </row>
    <row r="101" spans="2:18" s="7" customFormat="1" ht="37.5" customHeight="1">
      <c r="B101" s="130"/>
      <c r="C101" s="50" t="s">
        <v>76</v>
      </c>
      <c r="F101" s="210" t="str">
        <f>F8</f>
        <v>Umístění dvou nových prefabrikovaných trafostanic o výkonu 2 500 kVA a 2 250 kVA, včetně vybavení</v>
      </c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16" t="str">
        <f>$F$10</f>
        <v>Potěhy</v>
      </c>
      <c r="L103" s="18" t="s">
        <v>16</v>
      </c>
      <c r="M103" s="213">
        <f ca="1">IF($O$10="","",$O$10)</f>
        <v>45268</v>
      </c>
      <c r="N103" s="211"/>
      <c r="O103" s="211"/>
      <c r="P103" s="211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16" t="str">
        <f>$E$13</f>
        <v>ČEPRO, a.s.</v>
      </c>
      <c r="L105" s="18" t="s">
        <v>22</v>
      </c>
      <c r="M105" s="212" t="str">
        <f>$E$19</f>
        <v>YOUNG4ENERGY s.r.o.</v>
      </c>
      <c r="N105" s="211"/>
      <c r="O105" s="211"/>
      <c r="P105" s="211"/>
      <c r="Q105" s="211"/>
      <c r="R105" s="131"/>
    </row>
    <row r="106" spans="2:18" s="7" customFormat="1" ht="15" customHeight="1">
      <c r="B106" s="130"/>
      <c r="C106" s="18" t="s">
        <v>20</v>
      </c>
      <c r="F106" s="16" t="str">
        <f>IF($E$16="","",$E$16)</f>
        <v>Vyplň údaj</v>
      </c>
      <c r="L106" s="18" t="s">
        <v>23</v>
      </c>
      <c r="M106" s="212" t="str">
        <f>$E$22</f>
        <v>YOUNG4ENERGY s.r.o.</v>
      </c>
      <c r="N106" s="211"/>
      <c r="O106" s="211"/>
      <c r="P106" s="211"/>
      <c r="Q106" s="211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267" t="s">
        <v>86</v>
      </c>
      <c r="G108" s="268"/>
      <c r="H108" s="268"/>
      <c r="I108" s="268"/>
      <c r="J108" s="165" t="s">
        <v>87</v>
      </c>
      <c r="K108" s="165" t="s">
        <v>88</v>
      </c>
      <c r="L108" s="267" t="s">
        <v>89</v>
      </c>
      <c r="M108" s="268"/>
      <c r="N108" s="267" t="s">
        <v>90</v>
      </c>
      <c r="O108" s="268"/>
      <c r="P108" s="268"/>
      <c r="Q108" s="269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130"/>
      <c r="C109" s="58" t="s">
        <v>77</v>
      </c>
      <c r="N109" s="206">
        <f>N110</f>
        <v>0</v>
      </c>
      <c r="O109" s="211"/>
      <c r="P109" s="211"/>
      <c r="Q109" s="211"/>
      <c r="R109" s="131"/>
      <c r="T109" s="57"/>
      <c r="U109" s="34"/>
      <c r="V109" s="34"/>
      <c r="W109" s="97" t="e">
        <f>$W$110+#REF!+#REF!</f>
        <v>#REF!</v>
      </c>
      <c r="X109" s="34"/>
      <c r="Y109" s="97" t="e">
        <f>$Y$110+#REF!+#REF!</f>
        <v>#REF!</v>
      </c>
      <c r="Z109" s="34"/>
      <c r="AA109" s="98" t="e">
        <f>$AA$110+#REF!+#REF!</f>
        <v>#REF!</v>
      </c>
      <c r="BK109" s="99"/>
    </row>
    <row r="110" spans="2:63" s="113" customFormat="1" ht="24.95" customHeight="1">
      <c r="B110" s="136"/>
      <c r="D110" s="101" t="s">
        <v>242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260">
        <f>N111</f>
        <v>0</v>
      </c>
      <c r="O110" s="261"/>
      <c r="P110" s="261"/>
      <c r="Q110" s="261"/>
      <c r="R110" s="137"/>
      <c r="T110" s="114"/>
      <c r="W110" s="115" t="e">
        <f>$W$111+#REF!+#REF!+#REF!+#REF!+#REF!</f>
        <v>#REF!</v>
      </c>
      <c r="Y110" s="115" t="e">
        <f>$Y$111+#REF!+#REF!+#REF!+#REF!+#REF!</f>
        <v>#REF!</v>
      </c>
      <c r="AA110" s="116" t="e">
        <f>$AA$111+#REF!+#REF!+#REF!+#REF!+#REF!</f>
        <v>#REF!</v>
      </c>
      <c r="AR110" s="164"/>
      <c r="AT110" s="164"/>
      <c r="AU110" s="164"/>
      <c r="AY110" s="164"/>
      <c r="BK110" s="117"/>
    </row>
    <row r="111" spans="2:63" s="113" customFormat="1" ht="20.1" customHeight="1">
      <c r="B111" s="136"/>
      <c r="D111" s="112" t="s">
        <v>241</v>
      </c>
      <c r="E111" s="112"/>
      <c r="F111" s="112"/>
      <c r="G111" s="112"/>
      <c r="H111" s="112"/>
      <c r="I111" s="112"/>
      <c r="J111" s="112"/>
      <c r="K111" s="112"/>
      <c r="L111" s="112"/>
      <c r="M111" s="112"/>
      <c r="N111" s="262">
        <f>SUM(N112:Q114)</f>
        <v>0</v>
      </c>
      <c r="O111" s="261"/>
      <c r="P111" s="261"/>
      <c r="Q111" s="261"/>
      <c r="R111" s="137"/>
      <c r="T111" s="114"/>
      <c r="W111" s="115">
        <f>SUM($W$113:$W$113)</f>
        <v>0</v>
      </c>
      <c r="Y111" s="115">
        <f>SUM($Y$113:$Y$113)</f>
        <v>0</v>
      </c>
      <c r="AA111" s="116">
        <f>SUM($AA$113:$AA$113)</f>
        <v>0</v>
      </c>
      <c r="AR111" s="164"/>
      <c r="AT111" s="164"/>
      <c r="AU111" s="164"/>
      <c r="AY111" s="164"/>
      <c r="BK111" s="117"/>
    </row>
    <row r="112" spans="2:63" s="113" customFormat="1" ht="315.75" customHeight="1">
      <c r="B112" s="136"/>
      <c r="C112" s="150">
        <v>1</v>
      </c>
      <c r="D112" s="150"/>
      <c r="E112" s="161"/>
      <c r="F112" s="284" t="s">
        <v>243</v>
      </c>
      <c r="G112" s="285" t="s">
        <v>200</v>
      </c>
      <c r="H112" s="285" t="s">
        <v>200</v>
      </c>
      <c r="I112" s="285" t="s">
        <v>200</v>
      </c>
      <c r="J112" s="162" t="s">
        <v>100</v>
      </c>
      <c r="K112" s="151">
        <v>2</v>
      </c>
      <c r="L112" s="286">
        <v>0</v>
      </c>
      <c r="M112" s="286"/>
      <c r="N112" s="290">
        <f aca="true" t="shared" si="0" ref="N112">ROUND(L112*K112,2)</f>
        <v>0</v>
      </c>
      <c r="O112" s="290"/>
      <c r="P112" s="290"/>
      <c r="Q112" s="290"/>
      <c r="R112" s="137"/>
      <c r="T112" s="114"/>
      <c r="W112" s="115"/>
      <c r="Y112" s="115"/>
      <c r="AA112" s="116"/>
      <c r="AR112" s="164"/>
      <c r="AT112" s="164"/>
      <c r="AU112" s="164"/>
      <c r="AY112" s="164"/>
      <c r="BK112" s="117"/>
    </row>
    <row r="113" spans="2:63" s="125" customFormat="1" ht="64.5" customHeight="1">
      <c r="B113" s="149"/>
      <c r="C113" s="150">
        <f>C112+1</f>
        <v>2</v>
      </c>
      <c r="D113" s="150"/>
      <c r="E113" s="161"/>
      <c r="F113" s="264" t="s">
        <v>209</v>
      </c>
      <c r="G113" s="265"/>
      <c r="H113" s="265"/>
      <c r="I113" s="266"/>
      <c r="J113" s="162" t="s">
        <v>100</v>
      </c>
      <c r="K113" s="151">
        <v>2</v>
      </c>
      <c r="L113" s="286">
        <v>0</v>
      </c>
      <c r="M113" s="286"/>
      <c r="N113" s="290">
        <f aca="true" t="shared" si="1" ref="N113:N114">ROUND(L113*K113,2)</f>
        <v>0</v>
      </c>
      <c r="O113" s="290"/>
      <c r="P113" s="290"/>
      <c r="Q113" s="290"/>
      <c r="R113" s="152"/>
      <c r="T113" s="108"/>
      <c r="U113" s="27"/>
      <c r="V113" s="119"/>
      <c r="W113" s="119"/>
      <c r="X113" s="119"/>
      <c r="Y113" s="119"/>
      <c r="Z113" s="119"/>
      <c r="AA113" s="104"/>
      <c r="BE113" s="153"/>
      <c r="BF113" s="153"/>
      <c r="BG113" s="153"/>
      <c r="BH113" s="153"/>
      <c r="BI113" s="153"/>
      <c r="BK113" s="153"/>
    </row>
    <row r="114" spans="2:63" s="125" customFormat="1" ht="116.25" customHeight="1">
      <c r="B114" s="149"/>
      <c r="C114" s="150">
        <f>C113+1</f>
        <v>3</v>
      </c>
      <c r="D114" s="150"/>
      <c r="E114" s="161"/>
      <c r="F114" s="287" t="s">
        <v>218</v>
      </c>
      <c r="G114" s="288"/>
      <c r="H114" s="288"/>
      <c r="I114" s="289"/>
      <c r="J114" s="162" t="s">
        <v>100</v>
      </c>
      <c r="K114" s="151">
        <v>2</v>
      </c>
      <c r="L114" s="286">
        <v>0</v>
      </c>
      <c r="M114" s="286"/>
      <c r="N114" s="290">
        <f t="shared" si="1"/>
        <v>0</v>
      </c>
      <c r="O114" s="290"/>
      <c r="P114" s="290"/>
      <c r="Q114" s="290"/>
      <c r="R114" s="152"/>
      <c r="T114" s="103"/>
      <c r="U114" s="27"/>
      <c r="V114" s="119"/>
      <c r="W114" s="119"/>
      <c r="X114" s="119"/>
      <c r="Y114" s="119"/>
      <c r="Z114" s="119"/>
      <c r="AA114" s="104"/>
      <c r="BE114" s="153"/>
      <c r="BF114" s="153"/>
      <c r="BG114" s="153"/>
      <c r="BH114" s="153"/>
      <c r="BI114" s="153"/>
      <c r="BK114" s="153"/>
    </row>
    <row r="115" spans="2:18" ht="14.25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110"/>
    </row>
  </sheetData>
  <sheetProtection algorithmName="SHA-512" hashValue="lAwHzpjMIav6xih59WfUbSS9kdYghRQoHcnnNnf7QeCFNPbs1SDhZoG6c+fckemCxCa0sJjDVEdmUDoB++eHJw==" saltValue="NhMh6N1fxVGd2zXAAlRQQA==" spinCount="100000" sheet="1" objects="1" scenarios="1" selectLockedCells="1"/>
  <mergeCells count="66">
    <mergeCell ref="F112:I112"/>
    <mergeCell ref="M106:Q106"/>
    <mergeCell ref="F113:I113"/>
    <mergeCell ref="L113:M113"/>
    <mergeCell ref="F114:I114"/>
    <mergeCell ref="L114:M114"/>
    <mergeCell ref="N114:Q114"/>
    <mergeCell ref="N113:Q113"/>
    <mergeCell ref="F108:I108"/>
    <mergeCell ref="L108:M108"/>
    <mergeCell ref="N108:Q108"/>
    <mergeCell ref="N109:Q109"/>
    <mergeCell ref="N110:Q110"/>
    <mergeCell ref="N111:Q111"/>
    <mergeCell ref="L112:M112"/>
    <mergeCell ref="N112:Q112"/>
    <mergeCell ref="F99:P99"/>
    <mergeCell ref="F100:P100"/>
    <mergeCell ref="F101:P101"/>
    <mergeCell ref="M103:P103"/>
    <mergeCell ref="M105:Q105"/>
    <mergeCell ref="L91:Q91"/>
    <mergeCell ref="C97:Q97"/>
    <mergeCell ref="M83:Q83"/>
    <mergeCell ref="M84:Q84"/>
    <mergeCell ref="C86:G86"/>
    <mergeCell ref="N86:Q86"/>
    <mergeCell ref="N88:Q88"/>
    <mergeCell ref="N89:Q89"/>
    <mergeCell ref="M81:P81"/>
    <mergeCell ref="F81:K81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F78:P78"/>
    <mergeCell ref="F79:P79"/>
    <mergeCell ref="H30:J30"/>
    <mergeCell ref="M30:P30"/>
    <mergeCell ref="O19:P19"/>
    <mergeCell ref="O21:P21"/>
    <mergeCell ref="O22:P22"/>
    <mergeCell ref="F7:P7"/>
    <mergeCell ref="M25:P25"/>
    <mergeCell ref="M27:P27"/>
    <mergeCell ref="H29:J29"/>
    <mergeCell ref="M29:P29"/>
    <mergeCell ref="E16:L16"/>
    <mergeCell ref="O16:P16"/>
    <mergeCell ref="O18:P18"/>
    <mergeCell ref="F8:P8"/>
    <mergeCell ref="F10:L10"/>
    <mergeCell ref="O10:P10"/>
    <mergeCell ref="O12:P12"/>
    <mergeCell ref="O13:P13"/>
    <mergeCell ref="O15:P15"/>
    <mergeCell ref="H1:K1"/>
    <mergeCell ref="C2:Q2"/>
    <mergeCell ref="S2:AC2"/>
    <mergeCell ref="C4:Q4"/>
    <mergeCell ref="F6:P6"/>
  </mergeCells>
  <hyperlinks>
    <hyperlink ref="F1:G1" location="C2" tooltip="Krycí list rozpočtu" display="1) Krycí list rozpočtu"/>
    <hyperlink ref="H1:K1" location="'SO02'!C93" tooltip="Rekapitulace rozpočtu" display="2) Rekapitulace rozpočtu"/>
    <hyperlink ref="L1" location="'SO02'!C111" tooltip="Rozpočet" display="3) Rozpočet"/>
    <hyperlink ref="S1:T1" location="'Rekapitulace stavby'!C2" tooltip="Rekapitulace stavby" display="Rekapitulace stavby"/>
    <hyperlink ref="F1" location="'SO02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K119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L113" sqref="L113:M113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50" t="s">
        <v>107</v>
      </c>
      <c r="I1" s="250"/>
      <c r="J1" s="250"/>
      <c r="K1" s="250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244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16" t="s">
        <v>3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1" t="s">
        <v>74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45" t="str">
        <f>Rekapitulace!$K$6</f>
        <v>Instalace nové fotovoltaické elektrárny s výkonem 4 257,54 kWp v areálu Potěhy společnosti ČEPRO, a.s.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R6" s="12"/>
    </row>
    <row r="7" spans="2:18" ht="24.95" customHeight="1">
      <c r="B7" s="11"/>
      <c r="D7" s="18" t="s">
        <v>75</v>
      </c>
      <c r="F7" s="245" t="str">
        <f>Rekapitulace!J89</f>
        <v>Oplocení včetně vrat a elektronické zabezpečovací služby a osvětlení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R7" s="12"/>
    </row>
    <row r="8" spans="2:18" s="7" customFormat="1" ht="33.75" customHeight="1">
      <c r="B8" s="21"/>
      <c r="D8" s="17" t="s">
        <v>76</v>
      </c>
      <c r="F8" s="228" t="str">
        <f>Rekapitulace!J89</f>
        <v>Oplocení včetně vrat a elektronické zabezpečovací služby a osvětlení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Potěhy</v>
      </c>
      <c r="G10" s="212"/>
      <c r="H10" s="212"/>
      <c r="I10" s="212"/>
      <c r="J10" s="212"/>
      <c r="K10" s="212"/>
      <c r="L10" s="212"/>
      <c r="M10" s="18" t="s">
        <v>16</v>
      </c>
      <c r="O10" s="246">
        <f ca="1">Rekapitulace!$AN$8</f>
        <v>45268</v>
      </c>
      <c r="P10" s="246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1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1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1" t="str">
        <f>IF(Rekapitulace!$AN$13="","",Rekapitulace!$AN$13)</f>
        <v>Vyplň údaj</v>
      </c>
      <c r="P15" s="242"/>
      <c r="R15" s="22"/>
    </row>
    <row r="16" spans="2:18" s="7" customFormat="1" ht="18.75" customHeight="1">
      <c r="B16" s="21"/>
      <c r="E16" s="241" t="str">
        <f>IF(Rekapitulace!$E$14="","",Rekapitulace!$E$14)</f>
        <v>Vyplň údaj</v>
      </c>
      <c r="F16" s="242"/>
      <c r="G16" s="242"/>
      <c r="H16" s="242"/>
      <c r="I16" s="242"/>
      <c r="J16" s="242"/>
      <c r="K16" s="242"/>
      <c r="L16" s="242"/>
      <c r="M16" s="18" t="s">
        <v>19</v>
      </c>
      <c r="O16" s="241" t="str">
        <f>IF(Rekapitulace!$AN$14="","",Rekapitulace!$AN$14)</f>
        <v>Vyplň údaj</v>
      </c>
      <c r="P16" s="242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1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1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1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1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39">
        <f>$N$88</f>
        <v>0</v>
      </c>
      <c r="N25" s="211"/>
      <c r="O25" s="211"/>
      <c r="P25" s="211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3">
        <f>ROUND($M$25,2)</f>
        <v>0</v>
      </c>
      <c r="N27" s="211"/>
      <c r="O27" s="211"/>
      <c r="P27" s="211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0">
        <f>M27</f>
        <v>0</v>
      </c>
      <c r="I29" s="211"/>
      <c r="J29" s="211"/>
      <c r="M29" s="240">
        <f>(H29)*$F$29</f>
        <v>0</v>
      </c>
      <c r="N29" s="211"/>
      <c r="O29" s="211"/>
      <c r="P29" s="211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0">
        <v>0</v>
      </c>
      <c r="I30" s="211"/>
      <c r="J30" s="211"/>
      <c r="M30" s="240">
        <v>0</v>
      </c>
      <c r="N30" s="211"/>
      <c r="O30" s="211"/>
      <c r="P30" s="211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0">
        <f>(SUM($BG$91:$BG$91)+SUM($BG$110:$BG$110))</f>
        <v>0</v>
      </c>
      <c r="I31" s="211"/>
      <c r="J31" s="211"/>
      <c r="M31" s="240">
        <v>0</v>
      </c>
      <c r="N31" s="211"/>
      <c r="O31" s="211"/>
      <c r="P31" s="211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0">
        <f>(SUM($BH$91:$BH$91)+SUM($BH$110:$BH$110))</f>
        <v>0</v>
      </c>
      <c r="I32" s="211"/>
      <c r="J32" s="211"/>
      <c r="M32" s="240">
        <v>0</v>
      </c>
      <c r="N32" s="211"/>
      <c r="O32" s="211"/>
      <c r="P32" s="211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0">
        <f>(SUM($BI$91:$BI$91)+SUM($BI$110:$BI$110))</f>
        <v>0</v>
      </c>
      <c r="I33" s="211"/>
      <c r="J33" s="211"/>
      <c r="M33" s="240">
        <v>0</v>
      </c>
      <c r="N33" s="211"/>
      <c r="O33" s="211"/>
      <c r="P33" s="211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58">
        <f>ROUND(SUM($M$27:$M$33),2)</f>
        <v>0</v>
      </c>
      <c r="M35" s="198"/>
      <c r="N35" s="198"/>
      <c r="O35" s="198"/>
      <c r="P35" s="198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1" t="s">
        <v>78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45" t="str">
        <f>$F$6</f>
        <v>Instalace nové fotovoltaické elektrárny s výkonem 4 257,54 kWp v areálu Potěhy společnosti ČEPRO, a.s.</v>
      </c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R77" s="22"/>
    </row>
    <row r="78" spans="2:18" ht="24.95" customHeight="1">
      <c r="B78" s="11"/>
      <c r="C78" s="18" t="s">
        <v>75</v>
      </c>
      <c r="F78" s="245" t="str">
        <f>F7</f>
        <v>Oplocení včetně vrat a elektronické zabezpečovací služby a osvětlení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R78" s="12"/>
    </row>
    <row r="79" spans="2:18" s="7" customFormat="1" ht="37.5" customHeight="1">
      <c r="B79" s="21"/>
      <c r="C79" s="50" t="s">
        <v>76</v>
      </c>
      <c r="F79" s="210" t="str">
        <f>F8</f>
        <v>Oplocení včetně vrat a elektronické zabezpečovací služby a osvětlení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57" t="str">
        <f>$F$10</f>
        <v>Potěhy</v>
      </c>
      <c r="G81" s="257"/>
      <c r="H81" s="257"/>
      <c r="I81" s="257"/>
      <c r="J81" s="257"/>
      <c r="K81" s="257"/>
      <c r="L81" s="18" t="s">
        <v>16</v>
      </c>
      <c r="M81" s="213">
        <f ca="1">IF($O$10="","",$O$10)</f>
        <v>45268</v>
      </c>
      <c r="N81" s="211"/>
      <c r="O81" s="211"/>
      <c r="P81" s="211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1"/>
      <c r="O83" s="211"/>
      <c r="P83" s="211"/>
      <c r="Q83" s="211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1"/>
      <c r="O84" s="211"/>
      <c r="P84" s="211"/>
      <c r="Q84" s="211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3" t="s">
        <v>79</v>
      </c>
      <c r="D86" s="198"/>
      <c r="E86" s="198"/>
      <c r="F86" s="198"/>
      <c r="G86" s="198"/>
      <c r="H86" s="29"/>
      <c r="I86" s="29"/>
      <c r="J86" s="29"/>
      <c r="K86" s="29"/>
      <c r="L86" s="29"/>
      <c r="M86" s="29"/>
      <c r="N86" s="249" t="s">
        <v>80</v>
      </c>
      <c r="O86" s="211"/>
      <c r="P86" s="211"/>
      <c r="Q86" s="211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06">
        <f>ROUND($N$110,2)</f>
        <v>0</v>
      </c>
      <c r="O88" s="211"/>
      <c r="P88" s="211"/>
      <c r="Q88" s="211"/>
      <c r="R88" s="22"/>
    </row>
    <row r="89" spans="2:18" s="75" customFormat="1" ht="20.1" customHeight="1">
      <c r="B89" s="91"/>
      <c r="D89" s="101" t="str">
        <f>D111</f>
        <v>Vytvoření oplocení nově budované pozemnní FVE</v>
      </c>
      <c r="E89" s="63"/>
      <c r="F89" s="63"/>
      <c r="G89" s="63"/>
      <c r="H89" s="63"/>
      <c r="I89" s="63"/>
      <c r="J89" s="63"/>
      <c r="K89" s="63"/>
      <c r="L89" s="63"/>
      <c r="M89" s="63"/>
      <c r="N89" s="247">
        <f>N111</f>
        <v>0</v>
      </c>
      <c r="O89" s="248"/>
      <c r="P89" s="248"/>
      <c r="Q89" s="248"/>
      <c r="R89" s="92"/>
    </row>
    <row r="90" spans="2:18" s="75" customFormat="1" ht="20.1" customHeight="1">
      <c r="B90" s="91"/>
      <c r="D90" s="101" t="str">
        <f>D115</f>
        <v>Vytvoření systému osvětlení nově budované pozemní FVE</v>
      </c>
      <c r="E90" s="63"/>
      <c r="F90" s="63"/>
      <c r="G90" s="63"/>
      <c r="H90" s="63"/>
      <c r="I90" s="63"/>
      <c r="J90" s="63"/>
      <c r="K90" s="63"/>
      <c r="L90" s="63"/>
      <c r="M90" s="63"/>
      <c r="N90" s="247">
        <f>N115</f>
        <v>0</v>
      </c>
      <c r="O90" s="248"/>
      <c r="P90" s="248"/>
      <c r="Q90" s="248"/>
      <c r="R90" s="92"/>
    </row>
    <row r="91" spans="2:18" s="7" customFormat="1" ht="12" customHeight="1">
      <c r="B91" s="21"/>
      <c r="R91" s="22"/>
    </row>
    <row r="92" spans="2:18" s="7" customFormat="1" ht="30" customHeight="1">
      <c r="B92" s="21"/>
      <c r="C92" s="86" t="s">
        <v>115</v>
      </c>
      <c r="D92" s="29"/>
      <c r="E92" s="29"/>
      <c r="F92" s="29"/>
      <c r="G92" s="29"/>
      <c r="H92" s="29"/>
      <c r="I92" s="29"/>
      <c r="J92" s="29"/>
      <c r="K92" s="29"/>
      <c r="L92" s="197">
        <f>ROUND(SUM($N$89:$Q$90),2)</f>
        <v>0</v>
      </c>
      <c r="M92" s="198"/>
      <c r="N92" s="198"/>
      <c r="O92" s="198"/>
      <c r="P92" s="198"/>
      <c r="Q92" s="198"/>
      <c r="R92" s="22"/>
    </row>
    <row r="93" spans="2:18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7" spans="2:18" s="7" customFormat="1" ht="7.5" customHeight="1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9"/>
    </row>
    <row r="98" spans="2:18" s="7" customFormat="1" ht="37.5" customHeight="1">
      <c r="B98" s="130"/>
      <c r="C98" s="231" t="s">
        <v>83</v>
      </c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131"/>
    </row>
    <row r="99" spans="2:18" s="7" customFormat="1" ht="7.5" customHeight="1">
      <c r="B99" s="130"/>
      <c r="R99" s="131"/>
    </row>
    <row r="100" spans="2:18" s="7" customFormat="1" ht="24.95" customHeight="1">
      <c r="B100" s="130"/>
      <c r="C100" s="18" t="s">
        <v>12</v>
      </c>
      <c r="F100" s="245" t="str">
        <f>$F$6</f>
        <v>Instalace nové fotovoltaické elektrárny s výkonem 4 257,54 kWp v areálu Potěhy společnosti ČEPRO, a.s.</v>
      </c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R100" s="131"/>
    </row>
    <row r="101" spans="2:18" ht="24.95" customHeight="1">
      <c r="B101" s="132"/>
      <c r="C101" s="18" t="s">
        <v>75</v>
      </c>
      <c r="F101" s="245" t="str">
        <f>F7</f>
        <v>Oplocení včetně vrat a elektronické zabezpečovací služby a osvětlení</v>
      </c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R101" s="133"/>
    </row>
    <row r="102" spans="2:18" s="7" customFormat="1" ht="52.5" customHeight="1">
      <c r="B102" s="130"/>
      <c r="C102" s="50" t="s">
        <v>76</v>
      </c>
      <c r="F102" s="210" t="str">
        <f>F8</f>
        <v>Oplocení včetně vrat a elektronické zabezpečovací služby a osvětlení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R102" s="131"/>
    </row>
    <row r="103" spans="2:18" s="7" customFormat="1" ht="7.5" customHeight="1">
      <c r="B103" s="130"/>
      <c r="R103" s="131"/>
    </row>
    <row r="104" spans="2:18" s="7" customFormat="1" ht="18.75" customHeight="1">
      <c r="B104" s="130"/>
      <c r="C104" s="18" t="s">
        <v>15</v>
      </c>
      <c r="F104" s="16" t="str">
        <f>$F$10</f>
        <v>Potěhy</v>
      </c>
      <c r="L104" s="18" t="s">
        <v>16</v>
      </c>
      <c r="M104" s="213">
        <f ca="1">IF($O$10="","",$O$10)</f>
        <v>45268</v>
      </c>
      <c r="N104" s="211"/>
      <c r="O104" s="211"/>
      <c r="P104" s="211"/>
      <c r="R104" s="131"/>
    </row>
    <row r="105" spans="2:18" s="7" customFormat="1" ht="7.5" customHeight="1">
      <c r="B105" s="130"/>
      <c r="R105" s="131"/>
    </row>
    <row r="106" spans="2:18" s="7" customFormat="1" ht="15.75" customHeight="1">
      <c r="B106" s="130"/>
      <c r="C106" s="18" t="s">
        <v>17</v>
      </c>
      <c r="F106" s="16" t="str">
        <f>$E$13</f>
        <v>ČEPRO, a.s.</v>
      </c>
      <c r="L106" s="18" t="s">
        <v>22</v>
      </c>
      <c r="M106" s="212" t="str">
        <f>$E$19</f>
        <v>YOUNG4ENERGY s.r.o.</v>
      </c>
      <c r="N106" s="211"/>
      <c r="O106" s="211"/>
      <c r="P106" s="211"/>
      <c r="Q106" s="211"/>
      <c r="R106" s="131"/>
    </row>
    <row r="107" spans="2:18" s="7" customFormat="1" ht="15" customHeight="1">
      <c r="B107" s="130"/>
      <c r="C107" s="18" t="s">
        <v>20</v>
      </c>
      <c r="F107" s="16" t="str">
        <f>IF($E$16="","",$E$16)</f>
        <v>Vyplň údaj</v>
      </c>
      <c r="L107" s="18" t="s">
        <v>23</v>
      </c>
      <c r="M107" s="212" t="str">
        <f>$E$22</f>
        <v>YOUNG4ENERGY s.r.o.</v>
      </c>
      <c r="N107" s="211"/>
      <c r="O107" s="211"/>
      <c r="P107" s="211"/>
      <c r="Q107" s="211"/>
      <c r="R107" s="131"/>
    </row>
    <row r="108" spans="2:18" s="7" customFormat="1" ht="11.25" customHeight="1">
      <c r="B108" s="130"/>
      <c r="R108" s="131"/>
    </row>
    <row r="109" spans="2:27" s="96" customFormat="1" ht="30" customHeight="1">
      <c r="B109" s="134"/>
      <c r="C109" s="94" t="s">
        <v>84</v>
      </c>
      <c r="D109" s="165" t="s">
        <v>85</v>
      </c>
      <c r="E109" s="165" t="s">
        <v>44</v>
      </c>
      <c r="F109" s="267" t="s">
        <v>86</v>
      </c>
      <c r="G109" s="268"/>
      <c r="H109" s="268"/>
      <c r="I109" s="268"/>
      <c r="J109" s="165" t="s">
        <v>87</v>
      </c>
      <c r="K109" s="165" t="s">
        <v>88</v>
      </c>
      <c r="L109" s="267" t="s">
        <v>89</v>
      </c>
      <c r="M109" s="268"/>
      <c r="N109" s="267" t="s">
        <v>90</v>
      </c>
      <c r="O109" s="268"/>
      <c r="P109" s="268"/>
      <c r="Q109" s="269"/>
      <c r="R109" s="135"/>
      <c r="T109" s="54" t="s">
        <v>91</v>
      </c>
      <c r="U109" s="55" t="s">
        <v>26</v>
      </c>
      <c r="V109" s="55" t="s">
        <v>92</v>
      </c>
      <c r="W109" s="55" t="s">
        <v>93</v>
      </c>
      <c r="X109" s="55" t="s">
        <v>94</v>
      </c>
      <c r="Y109" s="55" t="s">
        <v>95</v>
      </c>
      <c r="Z109" s="55" t="s">
        <v>96</v>
      </c>
      <c r="AA109" s="56" t="s">
        <v>97</v>
      </c>
    </row>
    <row r="110" spans="2:63" s="7" customFormat="1" ht="30" customHeight="1">
      <c r="B110" s="130"/>
      <c r="C110" s="58" t="s">
        <v>77</v>
      </c>
      <c r="N110" s="206">
        <f>N111+N115</f>
        <v>0</v>
      </c>
      <c r="O110" s="211"/>
      <c r="P110" s="211"/>
      <c r="Q110" s="211"/>
      <c r="R110" s="131"/>
      <c r="T110" s="57"/>
      <c r="U110" s="34"/>
      <c r="V110" s="34"/>
      <c r="W110" s="97" t="e">
        <f>#REF!+#REF!+#REF!</f>
        <v>#REF!</v>
      </c>
      <c r="X110" s="34"/>
      <c r="Y110" s="97" t="e">
        <f>#REF!+#REF!+#REF!</f>
        <v>#REF!</v>
      </c>
      <c r="Z110" s="34"/>
      <c r="AA110" s="98" t="e">
        <f>#REF!+#REF!+#REF!</f>
        <v>#REF!</v>
      </c>
      <c r="BK110" s="99"/>
    </row>
    <row r="111" spans="2:18" ht="24.95" customHeight="1">
      <c r="B111" s="130"/>
      <c r="C111" s="107"/>
      <c r="D111" s="101" t="s">
        <v>186</v>
      </c>
      <c r="E111" s="101"/>
      <c r="F111" s="147"/>
      <c r="G111" s="147"/>
      <c r="H111" s="147"/>
      <c r="I111" s="147"/>
      <c r="J111" s="101"/>
      <c r="K111" s="101"/>
      <c r="L111" s="101"/>
      <c r="M111" s="101"/>
      <c r="N111" s="260">
        <f>N112</f>
        <v>0</v>
      </c>
      <c r="O111" s="260"/>
      <c r="P111" s="260"/>
      <c r="Q111" s="260"/>
      <c r="R111" s="131"/>
    </row>
    <row r="112" spans="2:18" ht="20.1" customHeight="1">
      <c r="B112" s="130"/>
      <c r="C112" s="107"/>
      <c r="D112" s="112" t="s">
        <v>188</v>
      </c>
      <c r="E112" s="141"/>
      <c r="F112" s="148"/>
      <c r="G112" s="148"/>
      <c r="H112" s="148"/>
      <c r="I112" s="148"/>
      <c r="J112" s="146"/>
      <c r="K112" s="142"/>
      <c r="L112" s="7"/>
      <c r="M112" s="7"/>
      <c r="N112" s="278">
        <f>SUM(N113:Q114)</f>
        <v>0</v>
      </c>
      <c r="O112" s="278"/>
      <c r="P112" s="278"/>
      <c r="Q112" s="278"/>
      <c r="R112" s="131"/>
    </row>
    <row r="113" spans="2:63" s="7" customFormat="1" ht="74.25" customHeight="1">
      <c r="B113" s="130"/>
      <c r="C113" s="120">
        <v>1</v>
      </c>
      <c r="D113" s="122"/>
      <c r="E113" s="169"/>
      <c r="F113" s="291" t="s">
        <v>219</v>
      </c>
      <c r="G113" s="292" t="s">
        <v>163</v>
      </c>
      <c r="H113" s="292" t="s">
        <v>163</v>
      </c>
      <c r="I113" s="293" t="s">
        <v>163</v>
      </c>
      <c r="J113" s="170" t="s">
        <v>100</v>
      </c>
      <c r="K113" s="121">
        <v>1</v>
      </c>
      <c r="L113" s="253">
        <v>0</v>
      </c>
      <c r="M113" s="254"/>
      <c r="N113" s="251">
        <f aca="true" t="shared" si="0" ref="N113:N114">ROUND(L113*K113,2)</f>
        <v>0</v>
      </c>
      <c r="O113" s="252"/>
      <c r="P113" s="252"/>
      <c r="Q113" s="252"/>
      <c r="R113" s="131"/>
      <c r="T113" s="103"/>
      <c r="U113" s="27" t="s">
        <v>27</v>
      </c>
      <c r="V113" s="119">
        <v>0.497</v>
      </c>
      <c r="W113" s="119">
        <f>$V$113*$K$113</f>
        <v>0.497</v>
      </c>
      <c r="X113" s="119">
        <v>0.00034</v>
      </c>
      <c r="Y113" s="119">
        <f>$X$113*$K$113</f>
        <v>0.00034</v>
      </c>
      <c r="Z113" s="119">
        <v>0</v>
      </c>
      <c r="AA113" s="104">
        <f>$Z$113*$K$113</f>
        <v>0</v>
      </c>
      <c r="BE113" s="80"/>
      <c r="BF113" s="80"/>
      <c r="BG113" s="80"/>
      <c r="BH113" s="80"/>
      <c r="BI113" s="80"/>
      <c r="BK113" s="80"/>
    </row>
    <row r="114" spans="2:63" s="7" customFormat="1" ht="72.75" customHeight="1">
      <c r="B114" s="130"/>
      <c r="C114" s="120">
        <f>C113+1</f>
        <v>2</v>
      </c>
      <c r="D114" s="122"/>
      <c r="E114" s="169"/>
      <c r="F114" s="291" t="s">
        <v>246</v>
      </c>
      <c r="G114" s="292"/>
      <c r="H114" s="292"/>
      <c r="I114" s="293"/>
      <c r="J114" s="170" t="s">
        <v>100</v>
      </c>
      <c r="K114" s="121">
        <v>1</v>
      </c>
      <c r="L114" s="253">
        <v>0</v>
      </c>
      <c r="M114" s="254"/>
      <c r="N114" s="251">
        <f t="shared" si="0"/>
        <v>0</v>
      </c>
      <c r="O114" s="252"/>
      <c r="P114" s="252"/>
      <c r="Q114" s="252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18" ht="24.95" customHeight="1">
      <c r="B115" s="130"/>
      <c r="C115" s="107"/>
      <c r="D115" s="101" t="s">
        <v>187</v>
      </c>
      <c r="E115" s="101"/>
      <c r="F115" s="172"/>
      <c r="G115" s="172"/>
      <c r="H115" s="172"/>
      <c r="I115" s="172"/>
      <c r="J115" s="101"/>
      <c r="K115" s="101"/>
      <c r="L115" s="101"/>
      <c r="M115" s="101"/>
      <c r="N115" s="260">
        <f>N116</f>
        <v>0</v>
      </c>
      <c r="O115" s="260"/>
      <c r="P115" s="260"/>
      <c r="Q115" s="260"/>
      <c r="R115" s="131"/>
    </row>
    <row r="116" spans="2:18" ht="20.1" customHeight="1">
      <c r="B116" s="130"/>
      <c r="C116" s="107"/>
      <c r="D116" s="112" t="s">
        <v>189</v>
      </c>
      <c r="E116" s="141"/>
      <c r="F116" s="195"/>
      <c r="G116" s="195"/>
      <c r="H116" s="195"/>
      <c r="I116" s="195"/>
      <c r="J116" s="146"/>
      <c r="K116" s="142"/>
      <c r="L116" s="7"/>
      <c r="M116" s="7"/>
      <c r="N116" s="278">
        <f>SUM(N117:Q118)</f>
        <v>0</v>
      </c>
      <c r="O116" s="278"/>
      <c r="P116" s="278"/>
      <c r="Q116" s="278"/>
      <c r="R116" s="131"/>
    </row>
    <row r="117" spans="2:63" s="7" customFormat="1" ht="60.75" customHeight="1">
      <c r="B117" s="130"/>
      <c r="C117" s="120">
        <f>C114+1</f>
        <v>3</v>
      </c>
      <c r="D117" s="122"/>
      <c r="E117" s="155"/>
      <c r="F117" s="270" t="s">
        <v>210</v>
      </c>
      <c r="G117" s="271"/>
      <c r="H117" s="271"/>
      <c r="I117" s="272"/>
      <c r="J117" s="158" t="s">
        <v>100</v>
      </c>
      <c r="K117" s="121">
        <v>1</v>
      </c>
      <c r="L117" s="253">
        <v>0</v>
      </c>
      <c r="M117" s="254"/>
      <c r="N117" s="251">
        <f aca="true" t="shared" si="1" ref="N117">ROUND(L117*K117,2)</f>
        <v>0</v>
      </c>
      <c r="O117" s="252"/>
      <c r="P117" s="252"/>
      <c r="Q117" s="252"/>
      <c r="R117" s="131"/>
      <c r="T117" s="103"/>
      <c r="U117" s="27" t="s">
        <v>27</v>
      </c>
      <c r="V117" s="119">
        <v>0.497</v>
      </c>
      <c r="W117" s="119" t="e">
        <f>#REF!*#REF!</f>
        <v>#REF!</v>
      </c>
      <c r="X117" s="119">
        <v>0.00034</v>
      </c>
      <c r="Y117" s="119" t="e">
        <f>#REF!*#REF!</f>
        <v>#REF!</v>
      </c>
      <c r="Z117" s="119">
        <v>0</v>
      </c>
      <c r="AA117" s="104" t="e">
        <f>#REF!*#REF!</f>
        <v>#REF!</v>
      </c>
      <c r="BE117" s="80"/>
      <c r="BF117" s="80"/>
      <c r="BG117" s="80"/>
      <c r="BH117" s="80"/>
      <c r="BI117" s="80"/>
      <c r="BK117" s="80"/>
    </row>
    <row r="118" spans="2:63" s="7" customFormat="1" ht="95.25" customHeight="1">
      <c r="B118" s="130"/>
      <c r="C118" s="120">
        <f>C117+1</f>
        <v>4</v>
      </c>
      <c r="D118" s="122"/>
      <c r="E118" s="155"/>
      <c r="F118" s="270" t="s">
        <v>211</v>
      </c>
      <c r="G118" s="271"/>
      <c r="H118" s="271"/>
      <c r="I118" s="272"/>
      <c r="J118" s="158" t="s">
        <v>100</v>
      </c>
      <c r="K118" s="121">
        <v>1</v>
      </c>
      <c r="L118" s="253">
        <v>0</v>
      </c>
      <c r="M118" s="254"/>
      <c r="N118" s="251">
        <f aca="true" t="shared" si="2" ref="N118">ROUND(L118*K118,2)</f>
        <v>0</v>
      </c>
      <c r="O118" s="252"/>
      <c r="P118" s="252"/>
      <c r="Q118" s="252"/>
      <c r="R118" s="131"/>
      <c r="T118" s="103"/>
      <c r="U118" s="27" t="s">
        <v>27</v>
      </c>
      <c r="V118" s="119">
        <v>0.497</v>
      </c>
      <c r="W118" s="119" t="e">
        <f>#REF!*#REF!</f>
        <v>#REF!</v>
      </c>
      <c r="X118" s="119">
        <v>0.00034</v>
      </c>
      <c r="Y118" s="119" t="e">
        <f>#REF!*#REF!</f>
        <v>#REF!</v>
      </c>
      <c r="Z118" s="119">
        <v>0</v>
      </c>
      <c r="AA118" s="104" t="e">
        <f>#REF!*#REF!</f>
        <v>#REF!</v>
      </c>
      <c r="BE118" s="80"/>
      <c r="BF118" s="80"/>
      <c r="BG118" s="80"/>
      <c r="BH118" s="80"/>
      <c r="BI118" s="80"/>
      <c r="BK118" s="80"/>
    </row>
    <row r="119" spans="2:18" ht="14.25" customHeight="1"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110"/>
    </row>
  </sheetData>
  <sheetProtection algorithmName="SHA-512" hashValue="rUHZ0RYLkaEM9i97Z1ACyIRWwWcv//tTKpdWxctAzGY0j1cFIJDeVVLl1l2oLN+YcWCbtHQBZX4Ua1+YlkrNaA==" saltValue="fvfkb+deYYM7vxyhl4VqtA==" spinCount="100000" sheet="1" objects="1" scenarios="1" selectLockedCells="1"/>
  <mergeCells count="72">
    <mergeCell ref="F118:I118"/>
    <mergeCell ref="L118:M118"/>
    <mergeCell ref="N118:Q118"/>
    <mergeCell ref="F117:I117"/>
    <mergeCell ref="L117:M117"/>
    <mergeCell ref="N117:Q117"/>
    <mergeCell ref="N116:Q116"/>
    <mergeCell ref="N115:Q115"/>
    <mergeCell ref="F113:I113"/>
    <mergeCell ref="L113:M113"/>
    <mergeCell ref="F114:I114"/>
    <mergeCell ref="L114:M114"/>
    <mergeCell ref="N113:Q113"/>
    <mergeCell ref="N114:Q114"/>
    <mergeCell ref="N112:Q112"/>
    <mergeCell ref="N111:Q111"/>
    <mergeCell ref="N90:Q90"/>
    <mergeCell ref="N109:Q109"/>
    <mergeCell ref="N110:Q110"/>
    <mergeCell ref="M107:Q107"/>
    <mergeCell ref="F102:P102"/>
    <mergeCell ref="M104:P104"/>
    <mergeCell ref="M106:Q106"/>
    <mergeCell ref="F101:P101"/>
    <mergeCell ref="L92:Q92"/>
    <mergeCell ref="C98:Q98"/>
    <mergeCell ref="F100:P100"/>
    <mergeCell ref="F109:I109"/>
    <mergeCell ref="L109:M109"/>
    <mergeCell ref="F81:K81"/>
    <mergeCell ref="C86:G86"/>
    <mergeCell ref="O21:P21"/>
    <mergeCell ref="O22:P22"/>
    <mergeCell ref="F8:P8"/>
    <mergeCell ref="F10:L10"/>
    <mergeCell ref="O10:P10"/>
    <mergeCell ref="O12:P12"/>
    <mergeCell ref="O13:P13"/>
    <mergeCell ref="O15:P15"/>
    <mergeCell ref="M25:P25"/>
    <mergeCell ref="L35:P35"/>
    <mergeCell ref="C75:Q75"/>
    <mergeCell ref="F77:P77"/>
    <mergeCell ref="F78:P78"/>
    <mergeCell ref="F79:P79"/>
    <mergeCell ref="H31:J31"/>
    <mergeCell ref="M31:P31"/>
    <mergeCell ref="H32:J32"/>
    <mergeCell ref="M32:P32"/>
    <mergeCell ref="H33:J33"/>
    <mergeCell ref="M33:P33"/>
    <mergeCell ref="M81:P81"/>
    <mergeCell ref="N89:Q89"/>
    <mergeCell ref="M83:Q83"/>
    <mergeCell ref="M84:Q84"/>
    <mergeCell ref="N86:Q86"/>
    <mergeCell ref="N88:Q88"/>
    <mergeCell ref="M27:P27"/>
    <mergeCell ref="H29:J29"/>
    <mergeCell ref="M29:P29"/>
    <mergeCell ref="H30:J30"/>
    <mergeCell ref="M30:P30"/>
    <mergeCell ref="H1:K1"/>
    <mergeCell ref="C2:Q2"/>
    <mergeCell ref="S2:AC2"/>
    <mergeCell ref="C4:Q4"/>
    <mergeCell ref="F6:P6"/>
    <mergeCell ref="F7:P7"/>
    <mergeCell ref="E16:L16"/>
    <mergeCell ref="O16:P16"/>
    <mergeCell ref="O18:P18"/>
    <mergeCell ref="O19:P19"/>
  </mergeCells>
  <hyperlinks>
    <hyperlink ref="F1:G1" location="C2" tooltip="Krycí list rozpočtu" display="1) Krycí list rozpočtu"/>
    <hyperlink ref="H1:K1" location="'SO03'!C93" tooltip="Rekapitulace rozpočtu" display="2) Rekapitulace rozpočtu"/>
    <hyperlink ref="L1" location="'SO03'!C115" tooltip="Rozpočet" display="3) Rozpočet"/>
    <hyperlink ref="S1:T1" location="'Rekapitulace stavby'!C2" tooltip="Rekapitulace stavby" display="Rekapitulace stavby"/>
    <hyperlink ref="F1" location="'SO03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A08AF-D4CA-486F-B117-C3DAF6AC8DFD}">
  <dimension ref="B1:BK117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L116" sqref="L116:M116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50" t="s">
        <v>107</v>
      </c>
      <c r="I1" s="250"/>
      <c r="J1" s="250"/>
      <c r="K1" s="250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244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16" t="s">
        <v>3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1" t="s">
        <v>74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45" t="str">
        <f>Rekapitulace!$K$6</f>
        <v>Instalace nové fotovoltaické elektrárny s výkonem 4 257,54 kWp v areálu Potěhy společnosti ČEPRO, a.s.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R6" s="12"/>
    </row>
    <row r="7" spans="2:18" ht="24.95" customHeight="1">
      <c r="B7" s="11"/>
      <c r="D7" s="18" t="s">
        <v>75</v>
      </c>
      <c r="F7" s="245" t="str">
        <f>Rekapitulace!J90</f>
        <v>Řídicí systém pro řízení výroby s energetickým managmentem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R7" s="12"/>
    </row>
    <row r="8" spans="2:18" s="7" customFormat="1" ht="33.75" customHeight="1">
      <c r="B8" s="21"/>
      <c r="D8" s="17" t="s">
        <v>76</v>
      </c>
      <c r="F8" s="228" t="str">
        <f>Rekapitulace!J90</f>
        <v>Řídicí systém pro řízení výroby s energetickým managmentem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Potěhy</v>
      </c>
      <c r="G10" s="212"/>
      <c r="H10" s="212"/>
      <c r="I10" s="212"/>
      <c r="J10" s="212"/>
      <c r="K10" s="212"/>
      <c r="L10" s="212"/>
      <c r="M10" s="18" t="s">
        <v>16</v>
      </c>
      <c r="O10" s="246">
        <f ca="1">Rekapitulace!$AN$8</f>
        <v>45268</v>
      </c>
      <c r="P10" s="246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1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1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1" t="str">
        <f>IF(Rekapitulace!$AN$13="","",Rekapitulace!$AN$13)</f>
        <v>Vyplň údaj</v>
      </c>
      <c r="P15" s="242"/>
      <c r="R15" s="22"/>
    </row>
    <row r="16" spans="2:18" s="7" customFormat="1" ht="18.75" customHeight="1">
      <c r="B16" s="21"/>
      <c r="E16" s="241" t="str">
        <f>IF(Rekapitulace!$E$14="","",Rekapitulace!$E$14)</f>
        <v>Vyplň údaj</v>
      </c>
      <c r="F16" s="242"/>
      <c r="G16" s="242"/>
      <c r="H16" s="242"/>
      <c r="I16" s="242"/>
      <c r="J16" s="242"/>
      <c r="K16" s="242"/>
      <c r="L16" s="242"/>
      <c r="M16" s="18" t="s">
        <v>19</v>
      </c>
      <c r="O16" s="241" t="str">
        <f>IF(Rekapitulace!$AN$14="","",Rekapitulace!$AN$14)</f>
        <v>Vyplň údaj</v>
      </c>
      <c r="P16" s="242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1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1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1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1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39">
        <f>$N$88</f>
        <v>0</v>
      </c>
      <c r="N25" s="211"/>
      <c r="O25" s="211"/>
      <c r="P25" s="211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3">
        <f>ROUND($M$25,2)</f>
        <v>0</v>
      </c>
      <c r="N27" s="211"/>
      <c r="O27" s="211"/>
      <c r="P27" s="211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0">
        <f>M27</f>
        <v>0</v>
      </c>
      <c r="I29" s="211"/>
      <c r="J29" s="211"/>
      <c r="M29" s="240">
        <f>(H29)*$F$29</f>
        <v>0</v>
      </c>
      <c r="N29" s="211"/>
      <c r="O29" s="211"/>
      <c r="P29" s="211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0">
        <v>0</v>
      </c>
      <c r="I30" s="211"/>
      <c r="J30" s="211"/>
      <c r="M30" s="240">
        <v>0</v>
      </c>
      <c r="N30" s="211"/>
      <c r="O30" s="211"/>
      <c r="P30" s="211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0">
        <f>(SUM($BG$91:$BG$91)+SUM($BG$110:$BG$110))</f>
        <v>0</v>
      </c>
      <c r="I31" s="211"/>
      <c r="J31" s="211"/>
      <c r="M31" s="240">
        <v>0</v>
      </c>
      <c r="N31" s="211"/>
      <c r="O31" s="211"/>
      <c r="P31" s="211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0">
        <f>(SUM($BH$91:$BH$91)+SUM($BH$110:$BH$110))</f>
        <v>0</v>
      </c>
      <c r="I32" s="211"/>
      <c r="J32" s="211"/>
      <c r="M32" s="240">
        <v>0</v>
      </c>
      <c r="N32" s="211"/>
      <c r="O32" s="211"/>
      <c r="P32" s="211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0">
        <f>(SUM($BI$91:$BI$91)+SUM($BI$110:$BI$110))</f>
        <v>0</v>
      </c>
      <c r="I33" s="211"/>
      <c r="J33" s="211"/>
      <c r="M33" s="240">
        <v>0</v>
      </c>
      <c r="N33" s="211"/>
      <c r="O33" s="211"/>
      <c r="P33" s="211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58">
        <f>ROUND(SUM($M$27:$M$33),2)</f>
        <v>0</v>
      </c>
      <c r="M35" s="198"/>
      <c r="N35" s="198"/>
      <c r="O35" s="198"/>
      <c r="P35" s="198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1" t="s">
        <v>78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45" t="str">
        <f>$F$6</f>
        <v>Instalace nové fotovoltaické elektrárny s výkonem 4 257,54 kWp v areálu Potěhy společnosti ČEPRO, a.s.</v>
      </c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R77" s="22"/>
    </row>
    <row r="78" spans="2:18" ht="24.95" customHeight="1">
      <c r="B78" s="11"/>
      <c r="C78" s="18" t="s">
        <v>75</v>
      </c>
      <c r="F78" s="245" t="str">
        <f>F7</f>
        <v>Řídicí systém pro řízení výroby s energetickým managmentem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R78" s="12"/>
    </row>
    <row r="79" spans="2:18" s="7" customFormat="1" ht="37.5" customHeight="1">
      <c r="B79" s="21"/>
      <c r="C79" s="50" t="s">
        <v>76</v>
      </c>
      <c r="F79" s="210" t="str">
        <f>F8</f>
        <v>Řídicí systém pro řízení výroby s energetickým managmentem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57" t="str">
        <f>$F$10</f>
        <v>Potěhy</v>
      </c>
      <c r="G81" s="257"/>
      <c r="H81" s="257"/>
      <c r="I81" s="257"/>
      <c r="J81" s="257"/>
      <c r="K81" s="257"/>
      <c r="L81" s="18" t="s">
        <v>16</v>
      </c>
      <c r="M81" s="213">
        <f ca="1">IF($O$10="","",$O$10)</f>
        <v>45268</v>
      </c>
      <c r="N81" s="211"/>
      <c r="O81" s="211"/>
      <c r="P81" s="211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1"/>
      <c r="O83" s="211"/>
      <c r="P83" s="211"/>
      <c r="Q83" s="211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1"/>
      <c r="O84" s="211"/>
      <c r="P84" s="211"/>
      <c r="Q84" s="211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3" t="s">
        <v>79</v>
      </c>
      <c r="D86" s="198"/>
      <c r="E86" s="198"/>
      <c r="F86" s="198"/>
      <c r="G86" s="198"/>
      <c r="H86" s="29"/>
      <c r="I86" s="29"/>
      <c r="J86" s="29"/>
      <c r="K86" s="29"/>
      <c r="L86" s="29"/>
      <c r="M86" s="29"/>
      <c r="N86" s="249" t="s">
        <v>80</v>
      </c>
      <c r="O86" s="211"/>
      <c r="P86" s="211"/>
      <c r="Q86" s="211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06">
        <f>ROUND($N$110,2)</f>
        <v>0</v>
      </c>
      <c r="O88" s="211"/>
      <c r="P88" s="211"/>
      <c r="Q88" s="211"/>
      <c r="R88" s="22"/>
    </row>
    <row r="89" spans="2:18" s="75" customFormat="1" ht="20.1" customHeight="1">
      <c r="B89" s="91"/>
      <c r="D89" s="101" t="str">
        <f>D111</f>
        <v>Hardwarové vybavení</v>
      </c>
      <c r="E89" s="63"/>
      <c r="F89" s="63"/>
      <c r="G89" s="63"/>
      <c r="H89" s="63"/>
      <c r="I89" s="63"/>
      <c r="J89" s="63"/>
      <c r="K89" s="63"/>
      <c r="L89" s="63"/>
      <c r="M89" s="63"/>
      <c r="N89" s="247">
        <f>N111</f>
        <v>0</v>
      </c>
      <c r="O89" s="248"/>
      <c r="P89" s="248"/>
      <c r="Q89" s="248"/>
      <c r="R89" s="92"/>
    </row>
    <row r="90" spans="2:18" s="75" customFormat="1" ht="20.1" customHeight="1">
      <c r="B90" s="91"/>
      <c r="D90" s="101" t="str">
        <f>D114</f>
        <v>Dispečerské řízení výrobny</v>
      </c>
      <c r="E90" s="63"/>
      <c r="F90" s="63"/>
      <c r="G90" s="63"/>
      <c r="H90" s="63"/>
      <c r="I90" s="63"/>
      <c r="J90" s="63"/>
      <c r="K90" s="63"/>
      <c r="L90" s="63"/>
      <c r="M90" s="63"/>
      <c r="N90" s="247">
        <f>N114</f>
        <v>0</v>
      </c>
      <c r="O90" s="248"/>
      <c r="P90" s="248"/>
      <c r="Q90" s="248"/>
      <c r="R90" s="92"/>
    </row>
    <row r="91" spans="2:18" s="7" customFormat="1" ht="12" customHeight="1">
      <c r="B91" s="21"/>
      <c r="R91" s="22"/>
    </row>
    <row r="92" spans="2:18" s="7" customFormat="1" ht="30" customHeight="1">
      <c r="B92" s="21"/>
      <c r="C92" s="86" t="s">
        <v>115</v>
      </c>
      <c r="D92" s="29"/>
      <c r="E92" s="29"/>
      <c r="F92" s="29"/>
      <c r="G92" s="29"/>
      <c r="H92" s="29"/>
      <c r="I92" s="29"/>
      <c r="J92" s="29"/>
      <c r="K92" s="29"/>
      <c r="L92" s="197">
        <f>ROUND(SUM($N$89:$Q$90),2)</f>
        <v>0</v>
      </c>
      <c r="M92" s="198"/>
      <c r="N92" s="198"/>
      <c r="O92" s="198"/>
      <c r="P92" s="198"/>
      <c r="Q92" s="198"/>
      <c r="R92" s="22"/>
    </row>
    <row r="93" spans="2:18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7" spans="2:18" s="7" customFormat="1" ht="7.5" customHeight="1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9"/>
    </row>
    <row r="98" spans="2:18" s="7" customFormat="1" ht="37.5" customHeight="1">
      <c r="B98" s="130"/>
      <c r="C98" s="231" t="s">
        <v>83</v>
      </c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131"/>
    </row>
    <row r="99" spans="2:18" s="7" customFormat="1" ht="7.5" customHeight="1">
      <c r="B99" s="130"/>
      <c r="R99" s="131"/>
    </row>
    <row r="100" spans="2:18" s="7" customFormat="1" ht="24.95" customHeight="1">
      <c r="B100" s="130"/>
      <c r="C100" s="18" t="s">
        <v>12</v>
      </c>
      <c r="F100" s="245" t="str">
        <f>$F$6</f>
        <v>Instalace nové fotovoltaické elektrárny s výkonem 4 257,54 kWp v areálu Potěhy společnosti ČEPRO, a.s.</v>
      </c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R100" s="131"/>
    </row>
    <row r="101" spans="2:18" ht="24.95" customHeight="1">
      <c r="B101" s="132"/>
      <c r="C101" s="18" t="s">
        <v>75</v>
      </c>
      <c r="F101" s="245" t="str">
        <f>F7</f>
        <v>Řídicí systém pro řízení výroby s energetickým managmentem</v>
      </c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R101" s="133"/>
    </row>
    <row r="102" spans="2:18" s="7" customFormat="1" ht="52.5" customHeight="1">
      <c r="B102" s="130"/>
      <c r="C102" s="50" t="s">
        <v>76</v>
      </c>
      <c r="F102" s="210" t="str">
        <f>F8</f>
        <v>Řídicí systém pro řízení výroby s energetickým managmentem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R102" s="131"/>
    </row>
    <row r="103" spans="2:18" s="7" customFormat="1" ht="7.5" customHeight="1">
      <c r="B103" s="130"/>
      <c r="R103" s="131"/>
    </row>
    <row r="104" spans="2:18" s="7" customFormat="1" ht="18.75" customHeight="1">
      <c r="B104" s="130"/>
      <c r="C104" s="18" t="s">
        <v>15</v>
      </c>
      <c r="F104" s="16" t="str">
        <f>$F$10</f>
        <v>Potěhy</v>
      </c>
      <c r="L104" s="18" t="s">
        <v>16</v>
      </c>
      <c r="M104" s="213">
        <f ca="1">IF($O$10="","",$O$10)</f>
        <v>45268</v>
      </c>
      <c r="N104" s="211"/>
      <c r="O104" s="211"/>
      <c r="P104" s="211"/>
      <c r="R104" s="131"/>
    </row>
    <row r="105" spans="2:18" s="7" customFormat="1" ht="7.5" customHeight="1">
      <c r="B105" s="130"/>
      <c r="R105" s="131"/>
    </row>
    <row r="106" spans="2:18" s="7" customFormat="1" ht="15.75" customHeight="1">
      <c r="B106" s="130"/>
      <c r="C106" s="18" t="s">
        <v>17</v>
      </c>
      <c r="F106" s="16" t="str">
        <f>$E$13</f>
        <v>ČEPRO, a.s.</v>
      </c>
      <c r="L106" s="18" t="s">
        <v>22</v>
      </c>
      <c r="M106" s="212" t="str">
        <f>$E$19</f>
        <v>YOUNG4ENERGY s.r.o.</v>
      </c>
      <c r="N106" s="211"/>
      <c r="O106" s="211"/>
      <c r="P106" s="211"/>
      <c r="Q106" s="211"/>
      <c r="R106" s="131"/>
    </row>
    <row r="107" spans="2:18" s="7" customFormat="1" ht="15" customHeight="1">
      <c r="B107" s="130"/>
      <c r="C107" s="18" t="s">
        <v>20</v>
      </c>
      <c r="F107" s="16" t="str">
        <f>IF($E$16="","",$E$16)</f>
        <v>Vyplň údaj</v>
      </c>
      <c r="L107" s="18" t="s">
        <v>23</v>
      </c>
      <c r="M107" s="212" t="str">
        <f>$E$22</f>
        <v>YOUNG4ENERGY s.r.o.</v>
      </c>
      <c r="N107" s="211"/>
      <c r="O107" s="211"/>
      <c r="P107" s="211"/>
      <c r="Q107" s="211"/>
      <c r="R107" s="131"/>
    </row>
    <row r="108" spans="2:18" s="7" customFormat="1" ht="11.25" customHeight="1">
      <c r="B108" s="130"/>
      <c r="R108" s="131"/>
    </row>
    <row r="109" spans="2:27" s="96" customFormat="1" ht="30" customHeight="1">
      <c r="B109" s="134"/>
      <c r="C109" s="94" t="s">
        <v>84</v>
      </c>
      <c r="D109" s="165" t="s">
        <v>85</v>
      </c>
      <c r="E109" s="165" t="s">
        <v>44</v>
      </c>
      <c r="F109" s="267" t="s">
        <v>86</v>
      </c>
      <c r="G109" s="268"/>
      <c r="H109" s="268"/>
      <c r="I109" s="268"/>
      <c r="J109" s="165" t="s">
        <v>87</v>
      </c>
      <c r="K109" s="165" t="s">
        <v>88</v>
      </c>
      <c r="L109" s="267" t="s">
        <v>89</v>
      </c>
      <c r="M109" s="268"/>
      <c r="N109" s="267" t="s">
        <v>90</v>
      </c>
      <c r="O109" s="268"/>
      <c r="P109" s="268"/>
      <c r="Q109" s="269"/>
      <c r="R109" s="135"/>
      <c r="T109" s="54" t="s">
        <v>91</v>
      </c>
      <c r="U109" s="55" t="s">
        <v>26</v>
      </c>
      <c r="V109" s="55" t="s">
        <v>92</v>
      </c>
      <c r="W109" s="55" t="s">
        <v>93</v>
      </c>
      <c r="X109" s="55" t="s">
        <v>94</v>
      </c>
      <c r="Y109" s="55" t="s">
        <v>95</v>
      </c>
      <c r="Z109" s="55" t="s">
        <v>96</v>
      </c>
      <c r="AA109" s="56" t="s">
        <v>97</v>
      </c>
    </row>
    <row r="110" spans="2:63" s="7" customFormat="1" ht="30" customHeight="1">
      <c r="B110" s="130"/>
      <c r="C110" s="58" t="s">
        <v>77</v>
      </c>
      <c r="N110" s="206">
        <f>N111+N114</f>
        <v>0</v>
      </c>
      <c r="O110" s="211"/>
      <c r="P110" s="211"/>
      <c r="Q110" s="211"/>
      <c r="R110" s="131"/>
      <c r="T110" s="57"/>
      <c r="U110" s="34"/>
      <c r="V110" s="34"/>
      <c r="W110" s="97" t="e">
        <f>#REF!+#REF!+#REF!</f>
        <v>#REF!</v>
      </c>
      <c r="X110" s="34"/>
      <c r="Y110" s="97" t="e">
        <f>#REF!+#REF!+#REF!</f>
        <v>#REF!</v>
      </c>
      <c r="Z110" s="34"/>
      <c r="AA110" s="98" t="e">
        <f>#REF!+#REF!+#REF!</f>
        <v>#REF!</v>
      </c>
      <c r="BK110" s="99"/>
    </row>
    <row r="111" spans="2:18" ht="24.95" customHeight="1">
      <c r="B111" s="130"/>
      <c r="C111" s="107"/>
      <c r="D111" s="101" t="s">
        <v>143</v>
      </c>
      <c r="E111" s="101"/>
      <c r="F111" s="147"/>
      <c r="G111" s="147"/>
      <c r="H111" s="147"/>
      <c r="I111" s="147"/>
      <c r="J111" s="101"/>
      <c r="K111" s="101"/>
      <c r="L111" s="101"/>
      <c r="M111" s="101"/>
      <c r="N111" s="260">
        <f>N112</f>
        <v>0</v>
      </c>
      <c r="O111" s="260"/>
      <c r="P111" s="260"/>
      <c r="Q111" s="260"/>
      <c r="R111" s="131"/>
    </row>
    <row r="112" spans="2:18" ht="20.1" customHeight="1">
      <c r="B112" s="130"/>
      <c r="C112" s="107"/>
      <c r="D112" s="112" t="s">
        <v>149</v>
      </c>
      <c r="E112" s="141"/>
      <c r="F112" s="148"/>
      <c r="G112" s="148"/>
      <c r="H112" s="148"/>
      <c r="I112" s="148"/>
      <c r="J112" s="146"/>
      <c r="K112" s="142"/>
      <c r="L112" s="7"/>
      <c r="M112" s="7"/>
      <c r="N112" s="278">
        <f>SUM(N113:Q113)</f>
        <v>0</v>
      </c>
      <c r="O112" s="278"/>
      <c r="P112" s="278"/>
      <c r="Q112" s="278"/>
      <c r="R112" s="131"/>
    </row>
    <row r="113" spans="2:63" s="7" customFormat="1" ht="89.25" customHeight="1">
      <c r="B113" s="130"/>
      <c r="C113" s="120">
        <v>1</v>
      </c>
      <c r="D113" s="122"/>
      <c r="E113" s="169"/>
      <c r="F113" s="291" t="s">
        <v>233</v>
      </c>
      <c r="G113" s="292" t="s">
        <v>163</v>
      </c>
      <c r="H113" s="292" t="s">
        <v>163</v>
      </c>
      <c r="I113" s="293" t="s">
        <v>163</v>
      </c>
      <c r="J113" s="170" t="s">
        <v>100</v>
      </c>
      <c r="K113" s="121">
        <v>1</v>
      </c>
      <c r="L113" s="253">
        <v>0</v>
      </c>
      <c r="M113" s="254"/>
      <c r="N113" s="251">
        <f aca="true" t="shared" si="0" ref="N113">ROUND(L113*K113,2)</f>
        <v>0</v>
      </c>
      <c r="O113" s="252"/>
      <c r="P113" s="252"/>
      <c r="Q113" s="252"/>
      <c r="R113" s="131"/>
      <c r="T113" s="103"/>
      <c r="U113" s="27" t="s">
        <v>27</v>
      </c>
      <c r="V113" s="119">
        <v>0.497</v>
      </c>
      <c r="W113" s="119">
        <f>$V$113*$K$113</f>
        <v>0.497</v>
      </c>
      <c r="X113" s="119">
        <v>0.00034</v>
      </c>
      <c r="Y113" s="119">
        <f>$X$113*$K$113</f>
        <v>0.00034</v>
      </c>
      <c r="Z113" s="119">
        <v>0</v>
      </c>
      <c r="AA113" s="104">
        <f>$Z$113*$K$113</f>
        <v>0</v>
      </c>
      <c r="BE113" s="80"/>
      <c r="BF113" s="80"/>
      <c r="BG113" s="80"/>
      <c r="BH113" s="80"/>
      <c r="BI113" s="80"/>
      <c r="BK113" s="80"/>
    </row>
    <row r="114" spans="2:18" ht="24.95" customHeight="1">
      <c r="B114" s="130"/>
      <c r="C114" s="107"/>
      <c r="D114" s="101" t="s">
        <v>144</v>
      </c>
      <c r="E114" s="101"/>
      <c r="F114" s="172"/>
      <c r="G114" s="172"/>
      <c r="H114" s="172"/>
      <c r="I114" s="172"/>
      <c r="J114" s="101"/>
      <c r="K114" s="101"/>
      <c r="L114" s="101"/>
      <c r="M114" s="101"/>
      <c r="N114" s="260">
        <f>N115</f>
        <v>0</v>
      </c>
      <c r="O114" s="260"/>
      <c r="P114" s="260"/>
      <c r="Q114" s="260"/>
      <c r="R114" s="131"/>
    </row>
    <row r="115" spans="2:18" ht="20.1" customHeight="1">
      <c r="B115" s="130"/>
      <c r="C115" s="107"/>
      <c r="D115" s="112" t="s">
        <v>145</v>
      </c>
      <c r="E115" s="141"/>
      <c r="F115" s="195"/>
      <c r="G115" s="195"/>
      <c r="H115" s="195"/>
      <c r="I115" s="195"/>
      <c r="J115" s="146"/>
      <c r="K115" s="142"/>
      <c r="L115" s="7"/>
      <c r="M115" s="7"/>
      <c r="N115" s="278">
        <f>SUM(N116)</f>
        <v>0</v>
      </c>
      <c r="O115" s="278"/>
      <c r="P115" s="278"/>
      <c r="Q115" s="278"/>
      <c r="R115" s="131"/>
    </row>
    <row r="116" spans="2:63" s="7" customFormat="1" ht="120" customHeight="1">
      <c r="B116" s="130"/>
      <c r="C116" s="120">
        <f>C113+1</f>
        <v>2</v>
      </c>
      <c r="D116" s="122"/>
      <c r="E116" s="155"/>
      <c r="F116" s="270" t="s">
        <v>244</v>
      </c>
      <c r="G116" s="271"/>
      <c r="H116" s="271"/>
      <c r="I116" s="272"/>
      <c r="J116" s="158" t="s">
        <v>100</v>
      </c>
      <c r="K116" s="121">
        <v>1</v>
      </c>
      <c r="L116" s="253">
        <v>0</v>
      </c>
      <c r="M116" s="254"/>
      <c r="N116" s="251">
        <f aca="true" t="shared" si="1" ref="N116">ROUND(L116*K116,2)</f>
        <v>0</v>
      </c>
      <c r="O116" s="252"/>
      <c r="P116" s="252"/>
      <c r="Q116" s="252"/>
      <c r="R116" s="131"/>
      <c r="T116" s="103"/>
      <c r="U116" s="27" t="s">
        <v>27</v>
      </c>
      <c r="V116" s="119">
        <v>0.497</v>
      </c>
      <c r="W116" s="119" t="e">
        <f>#REF!*#REF!</f>
        <v>#REF!</v>
      </c>
      <c r="X116" s="119">
        <v>0.00034</v>
      </c>
      <c r="Y116" s="119" t="e">
        <f>#REF!*#REF!</f>
        <v>#REF!</v>
      </c>
      <c r="Z116" s="119">
        <v>0</v>
      </c>
      <c r="AA116" s="104" t="e">
        <f>#REF!*#REF!</f>
        <v>#REF!</v>
      </c>
      <c r="BE116" s="80"/>
      <c r="BF116" s="80"/>
      <c r="BG116" s="80"/>
      <c r="BH116" s="80"/>
      <c r="BI116" s="80"/>
      <c r="BK116" s="80"/>
    </row>
    <row r="117" spans="2:18" ht="14.2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190" t="s">
        <v>204</v>
      </c>
      <c r="M117" s="43"/>
      <c r="N117" s="43"/>
      <c r="O117" s="43"/>
      <c r="P117" s="43"/>
      <c r="Q117" s="43"/>
      <c r="R117" s="110"/>
    </row>
  </sheetData>
  <sheetProtection algorithmName="SHA-512" hashValue="VafHVNGKT/of9cmgrOpfL9E8nEjRblxAMyfJW05/EHOSnV1heenCeAh5g3u2kpBE5OcIe+ZeqJ+gAXU7Pus+2w==" saltValue="+ByBP9rKDNn+51nIloyLtA==" spinCount="100000" sheet="1" objects="1" scenarios="1" selectLockedCells="1"/>
  <mergeCells count="66">
    <mergeCell ref="N114:Q114"/>
    <mergeCell ref="N115:Q115"/>
    <mergeCell ref="F116:I116"/>
    <mergeCell ref="L116:M116"/>
    <mergeCell ref="N116:Q116"/>
    <mergeCell ref="N110:Q110"/>
    <mergeCell ref="N111:Q111"/>
    <mergeCell ref="N112:Q112"/>
    <mergeCell ref="F113:I113"/>
    <mergeCell ref="L113:M113"/>
    <mergeCell ref="N113:Q113"/>
    <mergeCell ref="F102:P102"/>
    <mergeCell ref="M104:P104"/>
    <mergeCell ref="M106:Q106"/>
    <mergeCell ref="M107:Q107"/>
    <mergeCell ref="F109:I109"/>
    <mergeCell ref="L109:M109"/>
    <mergeCell ref="N109:Q109"/>
    <mergeCell ref="F101:P101"/>
    <mergeCell ref="M83:Q83"/>
    <mergeCell ref="M84:Q84"/>
    <mergeCell ref="C86:G86"/>
    <mergeCell ref="N86:Q86"/>
    <mergeCell ref="N88:Q88"/>
    <mergeCell ref="N89:Q89"/>
    <mergeCell ref="N90:Q90"/>
    <mergeCell ref="L92:Q92"/>
    <mergeCell ref="C98:Q98"/>
    <mergeCell ref="F100:P100"/>
    <mergeCell ref="F81:K81"/>
    <mergeCell ref="M81:P81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F78:P78"/>
    <mergeCell ref="F79:P79"/>
    <mergeCell ref="M25:P25"/>
    <mergeCell ref="M27:P27"/>
    <mergeCell ref="H29:J29"/>
    <mergeCell ref="M29:P29"/>
    <mergeCell ref="H30:J30"/>
    <mergeCell ref="M30:P30"/>
    <mergeCell ref="O22:P22"/>
    <mergeCell ref="F8:P8"/>
    <mergeCell ref="F10:L10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F7:P7"/>
    <mergeCell ref="H1:K1"/>
    <mergeCell ref="C2:Q2"/>
    <mergeCell ref="S2:AC2"/>
    <mergeCell ref="C4:Q4"/>
    <mergeCell ref="F6:P6"/>
  </mergeCells>
  <hyperlinks>
    <hyperlink ref="F1:G1" location="C2" tooltip="Krycí list rozpočtu" display="1) Krycí list rozpočtu"/>
    <hyperlink ref="H1:K1" location="'SO04'!C93" tooltip="Rekapitulace rozpočtu" display="2) Rekapitulace rozpočtu"/>
    <hyperlink ref="L1" location="'SO04'!C115" tooltip="Rozpočet" display="3) Rozpočet"/>
    <hyperlink ref="S1:T1" location="'Rekapitulace stavby'!C2" tooltip="Rekapitulace stavby" display="Rekapitulace stavby"/>
    <hyperlink ref="F1" location="'SO04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EFDC-7AA1-4B4D-9EA4-AD58A19487F6}">
  <dimension ref="A1:BK121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O10" sqref="O10:P10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50" t="s">
        <v>107</v>
      </c>
      <c r="I1" s="250"/>
      <c r="J1" s="250"/>
      <c r="K1" s="250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244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16" t="s">
        <v>3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1" t="s">
        <v>74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45" t="str">
        <f>Rekapitulace!$K$6</f>
        <v>Instalace nové fotovoltaické elektrárny s výkonem 4 257,54 kWp v areálu Potěhy společnosti ČEPRO, a.s.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R6" s="12"/>
    </row>
    <row r="7" spans="2:18" ht="24.95" customHeight="1">
      <c r="B7" s="11"/>
      <c r="D7" s="18" t="s">
        <v>75</v>
      </c>
      <c r="F7" s="245" t="str">
        <f>Rekapitulace!J91</f>
        <v>Vyvedení elektrického výkonu FVE – stejnosměrná část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R7" s="12"/>
    </row>
    <row r="8" spans="2:18" s="7" customFormat="1" ht="33.75" customHeight="1">
      <c r="B8" s="21"/>
      <c r="D8" s="17" t="s">
        <v>76</v>
      </c>
      <c r="F8" s="228" t="str">
        <f>Rekapitulace!J91</f>
        <v>Vyvedení elektrického výkonu FVE – stejnosměrná část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Potěhy</v>
      </c>
      <c r="G10" s="212"/>
      <c r="H10" s="212"/>
      <c r="I10" s="212"/>
      <c r="J10" s="212"/>
      <c r="K10" s="212"/>
      <c r="L10" s="212"/>
      <c r="M10" s="18" t="s">
        <v>16</v>
      </c>
      <c r="O10" s="246">
        <f ca="1">Rekapitulace!$AN$8</f>
        <v>45268</v>
      </c>
      <c r="P10" s="246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1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1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1" t="str">
        <f>IF(Rekapitulace!$AN$13="","",Rekapitulace!$AN$13)</f>
        <v>Vyplň údaj</v>
      </c>
      <c r="P15" s="242"/>
      <c r="R15" s="22"/>
    </row>
    <row r="16" spans="2:18" s="7" customFormat="1" ht="18.75" customHeight="1">
      <c r="B16" s="21"/>
      <c r="E16" s="241" t="str">
        <f>IF(Rekapitulace!$E$14="","",Rekapitulace!$E$14)</f>
        <v>Vyplň údaj</v>
      </c>
      <c r="F16" s="242"/>
      <c r="G16" s="242"/>
      <c r="H16" s="242"/>
      <c r="I16" s="242"/>
      <c r="J16" s="242"/>
      <c r="K16" s="242"/>
      <c r="L16" s="242"/>
      <c r="M16" s="18" t="s">
        <v>19</v>
      </c>
      <c r="O16" s="241" t="str">
        <f>IF(Rekapitulace!$AN$14="","",Rekapitulace!$AN$14)</f>
        <v>Vyplň údaj</v>
      </c>
      <c r="P16" s="242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1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1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1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1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39">
        <f>$N$88</f>
        <v>0</v>
      </c>
      <c r="N25" s="211"/>
      <c r="O25" s="211"/>
      <c r="P25" s="211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3">
        <f>ROUND($M$25,2)</f>
        <v>0</v>
      </c>
      <c r="N27" s="211"/>
      <c r="O27" s="211"/>
      <c r="P27" s="211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0">
        <f>M27</f>
        <v>0</v>
      </c>
      <c r="I29" s="211"/>
      <c r="J29" s="211"/>
      <c r="M29" s="240">
        <f>(H29)*$F$29</f>
        <v>0</v>
      </c>
      <c r="N29" s="211"/>
      <c r="O29" s="211"/>
      <c r="P29" s="211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0">
        <v>0</v>
      </c>
      <c r="I30" s="211"/>
      <c r="J30" s="211"/>
      <c r="M30" s="240">
        <v>0</v>
      </c>
      <c r="N30" s="211"/>
      <c r="O30" s="211"/>
      <c r="P30" s="211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0">
        <f>(SUM($BG$90:$BG$90)+SUM($BG$109:$BG$109))</f>
        <v>0</v>
      </c>
      <c r="I31" s="211"/>
      <c r="J31" s="211"/>
      <c r="M31" s="240">
        <v>0</v>
      </c>
      <c r="N31" s="211"/>
      <c r="O31" s="211"/>
      <c r="P31" s="211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0">
        <f>(SUM($BH$90:$BH$90)+SUM($BH$109:$BH$109))</f>
        <v>0</v>
      </c>
      <c r="I32" s="211"/>
      <c r="J32" s="211"/>
      <c r="M32" s="240">
        <v>0</v>
      </c>
      <c r="N32" s="211"/>
      <c r="O32" s="211"/>
      <c r="P32" s="211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0">
        <f>(SUM($BI$90:$BI$90)+SUM($BI$109:$BI$109))</f>
        <v>0</v>
      </c>
      <c r="I33" s="211"/>
      <c r="J33" s="211"/>
      <c r="M33" s="240">
        <v>0</v>
      </c>
      <c r="N33" s="211"/>
      <c r="O33" s="211"/>
      <c r="P33" s="211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58">
        <f>ROUND(SUM($M$27:$M$33),2)</f>
        <v>0</v>
      </c>
      <c r="M35" s="198"/>
      <c r="N35" s="198"/>
      <c r="O35" s="198"/>
      <c r="P35" s="198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1" t="s">
        <v>78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45" t="str">
        <f>$F$6</f>
        <v>Instalace nové fotovoltaické elektrárny s výkonem 4 257,54 kWp v areálu Potěhy společnosti ČEPRO, a.s.</v>
      </c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R77" s="22"/>
    </row>
    <row r="78" spans="2:18" ht="24.95" customHeight="1">
      <c r="B78" s="11"/>
      <c r="C78" s="18" t="s">
        <v>75</v>
      </c>
      <c r="F78" s="245" t="str">
        <f>F7</f>
        <v>Vyvedení elektrického výkonu FVE – stejnosměrná část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R78" s="12"/>
    </row>
    <row r="79" spans="2:18" s="7" customFormat="1" ht="37.5" customHeight="1">
      <c r="B79" s="21"/>
      <c r="C79" s="50" t="s">
        <v>76</v>
      </c>
      <c r="F79" s="210" t="str">
        <f>F8</f>
        <v>Vyvedení elektrického výkonu FVE – stejnosměrná část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57" t="str">
        <f>$F$10</f>
        <v>Potěhy</v>
      </c>
      <c r="G81" s="257"/>
      <c r="H81" s="257"/>
      <c r="I81" s="257"/>
      <c r="J81" s="257"/>
      <c r="K81" s="257"/>
      <c r="L81" s="18" t="s">
        <v>16</v>
      </c>
      <c r="M81" s="213">
        <f ca="1">IF($O$10="","",$O$10)</f>
        <v>45268</v>
      </c>
      <c r="N81" s="211"/>
      <c r="O81" s="211"/>
      <c r="P81" s="211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1"/>
      <c r="O83" s="211"/>
      <c r="P83" s="211"/>
      <c r="Q83" s="211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1"/>
      <c r="O84" s="211"/>
      <c r="P84" s="211"/>
      <c r="Q84" s="211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3" t="s">
        <v>79</v>
      </c>
      <c r="D86" s="198"/>
      <c r="E86" s="198"/>
      <c r="F86" s="198"/>
      <c r="G86" s="198"/>
      <c r="H86" s="29"/>
      <c r="I86" s="29"/>
      <c r="J86" s="29"/>
      <c r="K86" s="29"/>
      <c r="L86" s="29"/>
      <c r="M86" s="29"/>
      <c r="N86" s="249" t="s">
        <v>80</v>
      </c>
      <c r="O86" s="211"/>
      <c r="P86" s="211"/>
      <c r="Q86" s="211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06">
        <f>ROUND($N$109,2)</f>
        <v>0</v>
      </c>
      <c r="O88" s="211"/>
      <c r="P88" s="211"/>
      <c r="Q88" s="211"/>
      <c r="R88" s="22"/>
    </row>
    <row r="89" spans="2:18" s="75" customFormat="1" ht="20.1" customHeight="1">
      <c r="B89" s="91"/>
      <c r="D89" s="101" t="str">
        <f>D110</f>
        <v>Vybudovaní propoje</v>
      </c>
      <c r="E89" s="63"/>
      <c r="F89" s="63"/>
      <c r="G89" s="63"/>
      <c r="H89" s="63"/>
      <c r="I89" s="63"/>
      <c r="J89" s="63"/>
      <c r="K89" s="63"/>
      <c r="L89" s="63"/>
      <c r="M89" s="63"/>
      <c r="N89" s="247">
        <f>N110</f>
        <v>0</v>
      </c>
      <c r="O89" s="248"/>
      <c r="P89" s="248"/>
      <c r="Q89" s="248"/>
      <c r="R89" s="92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197">
        <f>ROUND(SUM($N$89:$Q$89),2)</f>
        <v>0</v>
      </c>
      <c r="M91" s="198"/>
      <c r="N91" s="198"/>
      <c r="O91" s="198"/>
      <c r="P91" s="198"/>
      <c r="Q91" s="198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31" t="s">
        <v>83</v>
      </c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45" t="str">
        <f>$F$6</f>
        <v>Instalace nové fotovoltaické elektrárny s výkonem 4 257,54 kWp v areálu Potěhy společnosti ČEPRO, a.s.</v>
      </c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R99" s="131"/>
    </row>
    <row r="100" spans="2:18" ht="24.95" customHeight="1">
      <c r="B100" s="132"/>
      <c r="C100" s="18" t="s">
        <v>75</v>
      </c>
      <c r="F100" s="245" t="str">
        <f>F7</f>
        <v>Vyvedení elektrického výkonu FVE – stejnosměrná část</v>
      </c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R100" s="133"/>
    </row>
    <row r="101" spans="2:18" s="7" customFormat="1" ht="52.5" customHeight="1">
      <c r="B101" s="130"/>
      <c r="C101" s="50" t="s">
        <v>76</v>
      </c>
      <c r="F101" s="210" t="str">
        <f>F8</f>
        <v>Vyvedení elektrického výkonu FVE – stejnosměrná část</v>
      </c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16" t="str">
        <f>$F$10</f>
        <v>Potěhy</v>
      </c>
      <c r="L103" s="18" t="s">
        <v>16</v>
      </c>
      <c r="M103" s="213">
        <f ca="1">IF($O$10="","",$O$10)</f>
        <v>45268</v>
      </c>
      <c r="N103" s="211"/>
      <c r="O103" s="211"/>
      <c r="P103" s="211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16" t="str">
        <f>$E$13</f>
        <v>ČEPRO, a.s.</v>
      </c>
      <c r="L105" s="18" t="s">
        <v>22</v>
      </c>
      <c r="M105" s="212" t="str">
        <f>$E$19</f>
        <v>YOUNG4ENERGY s.r.o.</v>
      </c>
      <c r="N105" s="211"/>
      <c r="O105" s="211"/>
      <c r="P105" s="211"/>
      <c r="Q105" s="211"/>
      <c r="R105" s="131"/>
    </row>
    <row r="106" spans="2:18" s="7" customFormat="1" ht="15" customHeight="1">
      <c r="B106" s="130"/>
      <c r="C106" s="18" t="s">
        <v>20</v>
      </c>
      <c r="F106" s="16" t="str">
        <f>IF($E$16="","",$E$16)</f>
        <v>Vyplň údaj</v>
      </c>
      <c r="L106" s="18" t="s">
        <v>23</v>
      </c>
      <c r="M106" s="212" t="str">
        <f>$E$22</f>
        <v>YOUNG4ENERGY s.r.o.</v>
      </c>
      <c r="N106" s="211"/>
      <c r="O106" s="211"/>
      <c r="P106" s="211"/>
      <c r="Q106" s="211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267" t="s">
        <v>86</v>
      </c>
      <c r="G108" s="268"/>
      <c r="H108" s="268"/>
      <c r="I108" s="268"/>
      <c r="J108" s="165" t="s">
        <v>87</v>
      </c>
      <c r="K108" s="165" t="s">
        <v>88</v>
      </c>
      <c r="L108" s="267" t="s">
        <v>89</v>
      </c>
      <c r="M108" s="268"/>
      <c r="N108" s="267" t="s">
        <v>90</v>
      </c>
      <c r="O108" s="268"/>
      <c r="P108" s="268"/>
      <c r="Q108" s="269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24" customHeight="1">
      <c r="B109" s="130"/>
      <c r="C109" s="58" t="s">
        <v>77</v>
      </c>
      <c r="N109" s="206">
        <f>N110</f>
        <v>0</v>
      </c>
      <c r="O109" s="211"/>
      <c r="P109" s="211"/>
      <c r="Q109" s="211"/>
      <c r="R109" s="131"/>
      <c r="T109" s="57"/>
      <c r="U109" s="34"/>
      <c r="V109" s="34"/>
      <c r="W109" s="97" t="e">
        <f>#REF!+#REF!+#REF!</f>
        <v>#REF!</v>
      </c>
      <c r="X109" s="34"/>
      <c r="Y109" s="97" t="e">
        <f>#REF!+#REF!+#REF!</f>
        <v>#REF!</v>
      </c>
      <c r="Z109" s="34"/>
      <c r="AA109" s="98" t="e">
        <f>#REF!+#REF!+#REF!</f>
        <v>#REF!</v>
      </c>
      <c r="BK109" s="99"/>
    </row>
    <row r="110" spans="2:18" ht="18.75" customHeight="1">
      <c r="B110" s="130"/>
      <c r="C110" s="107"/>
      <c r="D110" s="101" t="s">
        <v>190</v>
      </c>
      <c r="E110" s="101"/>
      <c r="F110" s="147"/>
      <c r="G110" s="147"/>
      <c r="H110" s="147"/>
      <c r="I110" s="147"/>
      <c r="J110" s="101"/>
      <c r="K110" s="101"/>
      <c r="L110" s="101"/>
      <c r="M110" s="101"/>
      <c r="N110" s="260">
        <f>N111+N116+N118</f>
        <v>0</v>
      </c>
      <c r="O110" s="260"/>
      <c r="P110" s="260"/>
      <c r="Q110" s="260"/>
      <c r="R110" s="131"/>
    </row>
    <row r="111" spans="2:18" ht="19.5" customHeight="1">
      <c r="B111" s="130"/>
      <c r="C111" s="107"/>
      <c r="D111" s="112" t="s">
        <v>191</v>
      </c>
      <c r="E111" s="112"/>
      <c r="F111" s="148"/>
      <c r="G111" s="148"/>
      <c r="H111" s="148"/>
      <c r="I111" s="148"/>
      <c r="J111" s="146"/>
      <c r="K111" s="142"/>
      <c r="L111" s="7"/>
      <c r="M111" s="7"/>
      <c r="N111" s="278">
        <f>SUM(N112:Q115)</f>
        <v>0</v>
      </c>
      <c r="O111" s="278"/>
      <c r="P111" s="278"/>
      <c r="Q111" s="278"/>
      <c r="R111" s="131"/>
    </row>
    <row r="112" spans="2:63" s="7" customFormat="1" ht="29.25" customHeight="1">
      <c r="B112" s="130"/>
      <c r="C112" s="120">
        <v>1</v>
      </c>
      <c r="D112" s="122"/>
      <c r="E112" s="169"/>
      <c r="F112" s="295" t="s">
        <v>213</v>
      </c>
      <c r="G112" s="296"/>
      <c r="H112" s="296"/>
      <c r="I112" s="296"/>
      <c r="J112" s="170" t="s">
        <v>100</v>
      </c>
      <c r="K112" s="121">
        <v>1</v>
      </c>
      <c r="L112" s="253">
        <v>0</v>
      </c>
      <c r="M112" s="254"/>
      <c r="N112" s="251">
        <f aca="true" t="shared" si="0" ref="N112:N115">ROUND(L112*K112,2)</f>
        <v>0</v>
      </c>
      <c r="O112" s="252"/>
      <c r="P112" s="252"/>
      <c r="Q112" s="252"/>
      <c r="R112" s="131"/>
      <c r="T112" s="103"/>
      <c r="U112" s="27" t="s">
        <v>27</v>
      </c>
      <c r="V112" s="119">
        <v>0.497</v>
      </c>
      <c r="W112" s="119">
        <f>$V$112*$K$112</f>
        <v>0.497</v>
      </c>
      <c r="X112" s="119">
        <v>0.00034</v>
      </c>
      <c r="Y112" s="119">
        <f>$X$112*$K$112</f>
        <v>0.00034</v>
      </c>
      <c r="Z112" s="119">
        <v>0</v>
      </c>
      <c r="AA112" s="104">
        <f>$Z$112*$K$112</f>
        <v>0</v>
      </c>
      <c r="BE112" s="80"/>
      <c r="BF112" s="80"/>
      <c r="BG112" s="80"/>
      <c r="BH112" s="80"/>
      <c r="BI112" s="80"/>
      <c r="BK112" s="80"/>
    </row>
    <row r="113" spans="2:63" s="7" customFormat="1" ht="44.25" customHeight="1">
      <c r="B113" s="130"/>
      <c r="C113" s="120">
        <f>C112+1</f>
        <v>2</v>
      </c>
      <c r="D113" s="122"/>
      <c r="E113" s="169"/>
      <c r="F113" s="295" t="s">
        <v>220</v>
      </c>
      <c r="G113" s="296"/>
      <c r="H113" s="296"/>
      <c r="I113" s="296"/>
      <c r="J113" s="170" t="s">
        <v>100</v>
      </c>
      <c r="K113" s="121">
        <v>1</v>
      </c>
      <c r="L113" s="253">
        <v>0</v>
      </c>
      <c r="M113" s="254"/>
      <c r="N113" s="251">
        <f t="shared" si="0"/>
        <v>0</v>
      </c>
      <c r="O113" s="252"/>
      <c r="P113" s="252"/>
      <c r="Q113" s="252"/>
      <c r="R113" s="131"/>
      <c r="T113" s="108"/>
      <c r="U113" s="27"/>
      <c r="V113" s="119"/>
      <c r="W113" s="119"/>
      <c r="X113" s="119"/>
      <c r="Y113" s="119"/>
      <c r="Z113" s="119"/>
      <c r="AA113" s="104"/>
      <c r="BE113" s="80"/>
      <c r="BF113" s="80"/>
      <c r="BG113" s="80"/>
      <c r="BH113" s="80"/>
      <c r="BI113" s="80"/>
      <c r="BK113" s="80"/>
    </row>
    <row r="114" spans="2:63" s="7" customFormat="1" ht="46.5" customHeight="1">
      <c r="B114" s="130"/>
      <c r="C114" s="120">
        <f aca="true" t="shared" si="1" ref="C114:C115">C113+1</f>
        <v>3</v>
      </c>
      <c r="D114" s="122"/>
      <c r="E114" s="169"/>
      <c r="F114" s="295" t="s">
        <v>221</v>
      </c>
      <c r="G114" s="296"/>
      <c r="H114" s="296"/>
      <c r="I114" s="296"/>
      <c r="J114" s="170" t="s">
        <v>100</v>
      </c>
      <c r="K114" s="121">
        <v>1</v>
      </c>
      <c r="L114" s="253">
        <v>0</v>
      </c>
      <c r="M114" s="254"/>
      <c r="N114" s="251">
        <f t="shared" si="0"/>
        <v>0</v>
      </c>
      <c r="O114" s="252"/>
      <c r="P114" s="252"/>
      <c r="Q114" s="252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63" s="7" customFormat="1" ht="30" customHeight="1">
      <c r="B115" s="130"/>
      <c r="C115" s="120">
        <f t="shared" si="1"/>
        <v>4</v>
      </c>
      <c r="D115" s="122"/>
      <c r="E115" s="169"/>
      <c r="F115" s="295" t="s">
        <v>197</v>
      </c>
      <c r="G115" s="296"/>
      <c r="H115" s="296"/>
      <c r="I115" s="296"/>
      <c r="J115" s="170" t="s">
        <v>100</v>
      </c>
      <c r="K115" s="121">
        <v>1</v>
      </c>
      <c r="L115" s="253">
        <v>0</v>
      </c>
      <c r="M115" s="254"/>
      <c r="N115" s="251">
        <f t="shared" si="0"/>
        <v>0</v>
      </c>
      <c r="O115" s="252"/>
      <c r="P115" s="252"/>
      <c r="Q115" s="252"/>
      <c r="R115" s="131"/>
      <c r="T115" s="108"/>
      <c r="U115" s="27"/>
      <c r="V115" s="119"/>
      <c r="W115" s="119"/>
      <c r="X115" s="119"/>
      <c r="Y115" s="119"/>
      <c r="Z115" s="119"/>
      <c r="AA115" s="104"/>
      <c r="BE115" s="80"/>
      <c r="BF115" s="80"/>
      <c r="BG115" s="80"/>
      <c r="BH115" s="80"/>
      <c r="BI115" s="80"/>
      <c r="BK115" s="80"/>
    </row>
    <row r="116" spans="2:63" s="7" customFormat="1" ht="18" customHeight="1">
      <c r="B116" s="130"/>
      <c r="C116" s="113"/>
      <c r="D116" s="112" t="s">
        <v>203</v>
      </c>
      <c r="E116" s="112"/>
      <c r="F116" s="196"/>
      <c r="G116" s="196"/>
      <c r="H116" s="196"/>
      <c r="I116" s="196"/>
      <c r="J116" s="112"/>
      <c r="K116" s="112"/>
      <c r="L116" s="112"/>
      <c r="M116" s="112"/>
      <c r="N116" s="280">
        <f>SUM(N117)</f>
        <v>0</v>
      </c>
      <c r="O116" s="280"/>
      <c r="P116" s="280"/>
      <c r="Q116" s="280"/>
      <c r="R116" s="131"/>
      <c r="T116" s="108"/>
      <c r="U116" s="27"/>
      <c r="V116" s="119"/>
      <c r="W116" s="119"/>
      <c r="X116" s="119"/>
      <c r="Y116" s="119"/>
      <c r="Z116" s="119"/>
      <c r="AA116" s="104"/>
      <c r="BE116" s="80"/>
      <c r="BF116" s="80"/>
      <c r="BG116" s="80"/>
      <c r="BH116" s="80"/>
      <c r="BI116" s="80"/>
      <c r="BK116" s="80"/>
    </row>
    <row r="117" spans="2:63" s="7" customFormat="1" ht="45" customHeight="1">
      <c r="B117" s="130"/>
      <c r="C117" s="120">
        <f>C115+1</f>
        <v>5</v>
      </c>
      <c r="D117" s="143"/>
      <c r="E117" s="173"/>
      <c r="F117" s="281" t="s">
        <v>195</v>
      </c>
      <c r="G117" s="282"/>
      <c r="H117" s="282"/>
      <c r="I117" s="283"/>
      <c r="J117" s="170" t="s">
        <v>100</v>
      </c>
      <c r="K117" s="174">
        <v>1</v>
      </c>
      <c r="L117" s="294">
        <v>0</v>
      </c>
      <c r="M117" s="297"/>
      <c r="N117" s="273">
        <f aca="true" t="shared" si="2" ref="N117">ROUND(L117*K117,2)</f>
        <v>0</v>
      </c>
      <c r="O117" s="274"/>
      <c r="P117" s="274"/>
      <c r="Q117" s="275"/>
      <c r="R117" s="131"/>
      <c r="T117" s="108"/>
      <c r="U117" s="27"/>
      <c r="V117" s="119"/>
      <c r="W117" s="119"/>
      <c r="X117" s="119"/>
      <c r="Y117" s="119"/>
      <c r="Z117" s="119"/>
      <c r="AA117" s="104"/>
      <c r="BE117" s="80"/>
      <c r="BF117" s="80"/>
      <c r="BG117" s="80"/>
      <c r="BH117" s="80"/>
      <c r="BI117" s="80"/>
      <c r="BK117" s="80"/>
    </row>
    <row r="118" spans="1:18" ht="18.75" customHeight="1">
      <c r="A118" s="7"/>
      <c r="B118" s="130"/>
      <c r="C118" s="113"/>
      <c r="D118" s="112" t="s">
        <v>202</v>
      </c>
      <c r="E118" s="112"/>
      <c r="F118" s="196"/>
      <c r="G118" s="196"/>
      <c r="H118" s="196"/>
      <c r="I118" s="196"/>
      <c r="J118" s="112"/>
      <c r="K118" s="112"/>
      <c r="L118" s="112"/>
      <c r="M118" s="112"/>
      <c r="N118" s="262">
        <f>SUM(N119:Q120)</f>
        <v>0</v>
      </c>
      <c r="O118" s="262"/>
      <c r="P118" s="262"/>
      <c r="Q118" s="262"/>
      <c r="R118" s="133"/>
    </row>
    <row r="119" spans="1:18" ht="84.75" customHeight="1">
      <c r="A119" s="7"/>
      <c r="B119" s="130"/>
      <c r="C119" s="120">
        <f>C117+1</f>
        <v>6</v>
      </c>
      <c r="D119" s="143"/>
      <c r="E119" s="175"/>
      <c r="F119" s="270" t="s">
        <v>166</v>
      </c>
      <c r="G119" s="271"/>
      <c r="H119" s="271"/>
      <c r="I119" s="272"/>
      <c r="J119" s="176" t="s">
        <v>100</v>
      </c>
      <c r="K119" s="174">
        <v>1</v>
      </c>
      <c r="L119" s="294">
        <v>0</v>
      </c>
      <c r="M119" s="297"/>
      <c r="N119" s="273">
        <f>ROUND(K119*L119,2)</f>
        <v>0</v>
      </c>
      <c r="O119" s="274"/>
      <c r="P119" s="274"/>
      <c r="Q119" s="275"/>
      <c r="R119" s="133"/>
    </row>
    <row r="120" spans="2:18" ht="57" customHeight="1">
      <c r="B120" s="130"/>
      <c r="C120" s="143">
        <f>C119+1</f>
        <v>7</v>
      </c>
      <c r="D120" s="143"/>
      <c r="E120" s="173"/>
      <c r="F120" s="270" t="s">
        <v>150</v>
      </c>
      <c r="G120" s="271"/>
      <c r="H120" s="271"/>
      <c r="I120" s="272"/>
      <c r="J120" s="170" t="s">
        <v>100</v>
      </c>
      <c r="K120" s="174">
        <v>1</v>
      </c>
      <c r="L120" s="294">
        <v>0</v>
      </c>
      <c r="M120" s="294"/>
      <c r="N120" s="273">
        <f aca="true" t="shared" si="3" ref="N120">ROUND(K120*L120,2)</f>
        <v>0</v>
      </c>
      <c r="O120" s="274"/>
      <c r="P120" s="274"/>
      <c r="Q120" s="275"/>
      <c r="R120" s="133"/>
    </row>
    <row r="121" spans="2:18" ht="14.25" customHeight="1">
      <c r="B121" s="177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80"/>
      <c r="O121" s="180"/>
      <c r="P121" s="180"/>
      <c r="Q121" s="180"/>
      <c r="R121" s="110"/>
    </row>
  </sheetData>
  <sheetProtection algorithmName="SHA-512" hashValue="eayLn/iRDRxqCpeeKCyLFX+B76cncrPN1xcJz6K26Hwz2oRmUyfr9hpySEOaicS1igJuUrAuDzld9fGHSlVk4A==" saltValue="x2qJVKxsJn+7PkVw94wL7w==" spinCount="100000" sheet="1" objects="1" scenarios="1" selectLockedCells="1"/>
  <mergeCells count="80">
    <mergeCell ref="F119:I119"/>
    <mergeCell ref="L119:M119"/>
    <mergeCell ref="N119:Q119"/>
    <mergeCell ref="F115:I115"/>
    <mergeCell ref="L115:M115"/>
    <mergeCell ref="N115:Q115"/>
    <mergeCell ref="F117:I117"/>
    <mergeCell ref="L117:M117"/>
    <mergeCell ref="N111:Q111"/>
    <mergeCell ref="F112:I112"/>
    <mergeCell ref="L112:M112"/>
    <mergeCell ref="N112:Q112"/>
    <mergeCell ref="F113:I113"/>
    <mergeCell ref="L113:M113"/>
    <mergeCell ref="N113:Q113"/>
    <mergeCell ref="N89:Q89"/>
    <mergeCell ref="L91:Q91"/>
    <mergeCell ref="C97:Q97"/>
    <mergeCell ref="F99:P99"/>
    <mergeCell ref="F114:I114"/>
    <mergeCell ref="L114:M114"/>
    <mergeCell ref="N114:Q114"/>
    <mergeCell ref="F101:P101"/>
    <mergeCell ref="M103:P103"/>
    <mergeCell ref="M105:Q105"/>
    <mergeCell ref="M106:Q106"/>
    <mergeCell ref="F108:I108"/>
    <mergeCell ref="L108:M108"/>
    <mergeCell ref="N108:Q108"/>
    <mergeCell ref="N109:Q109"/>
    <mergeCell ref="N110:Q110"/>
    <mergeCell ref="H1:K1"/>
    <mergeCell ref="C2:Q2"/>
    <mergeCell ref="S2:AC2"/>
    <mergeCell ref="C4:Q4"/>
    <mergeCell ref="F6:P6"/>
    <mergeCell ref="O22:P22"/>
    <mergeCell ref="F8:P8"/>
    <mergeCell ref="F10:L10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F120:I120"/>
    <mergeCell ref="F7:P7"/>
    <mergeCell ref="M25:P25"/>
    <mergeCell ref="M27:P27"/>
    <mergeCell ref="H29:J29"/>
    <mergeCell ref="M29:P29"/>
    <mergeCell ref="H30:J30"/>
    <mergeCell ref="M30:P30"/>
    <mergeCell ref="F81:K81"/>
    <mergeCell ref="M81:P81"/>
    <mergeCell ref="H31:J31"/>
    <mergeCell ref="M31:P31"/>
    <mergeCell ref="H32:J32"/>
    <mergeCell ref="M32:P32"/>
    <mergeCell ref="H33:J33"/>
    <mergeCell ref="M33:P33"/>
    <mergeCell ref="L35:P35"/>
    <mergeCell ref="L120:M120"/>
    <mergeCell ref="N117:Q117"/>
    <mergeCell ref="N120:Q120"/>
    <mergeCell ref="N116:Q116"/>
    <mergeCell ref="N118:Q118"/>
    <mergeCell ref="C75:Q75"/>
    <mergeCell ref="F77:P77"/>
    <mergeCell ref="F78:P78"/>
    <mergeCell ref="F79:P79"/>
    <mergeCell ref="F100:P100"/>
    <mergeCell ref="M83:Q83"/>
    <mergeCell ref="M84:Q84"/>
    <mergeCell ref="C86:G86"/>
    <mergeCell ref="N86:Q86"/>
    <mergeCell ref="N88:Q88"/>
  </mergeCells>
  <hyperlinks>
    <hyperlink ref="F1:G1" location="C2" tooltip="Krycí list rozpočtu" display="1) Krycí list rozpočtu"/>
    <hyperlink ref="H1:K1" location="'SO03'!C93" tooltip="Rekapitulace rozpočtu" display="2) Rekapitulace rozpočtu"/>
    <hyperlink ref="L1" location="'SO03'!C115" tooltip="Rozpočet" display="3) Rozpočet"/>
    <hyperlink ref="S1:T1" location="'Rekapitulace stavby'!C2" tooltip="Rekapitulace stavby" display="Rekapitulace stavby"/>
    <hyperlink ref="F1" location="'SO03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4E16-27AF-48E1-98A1-ECFBDF63B70E}">
  <dimension ref="A1:BK123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O10" sqref="O10:P10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50" t="s">
        <v>107</v>
      </c>
      <c r="I1" s="250"/>
      <c r="J1" s="250"/>
      <c r="K1" s="250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182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16" t="s">
        <v>3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1" t="s">
        <v>74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45" t="str">
        <f>Rekapitulace!$K$6</f>
        <v>Instalace nové fotovoltaické elektrárny s výkonem 4 257,54 kWp v areálu Potěhy společnosti ČEPRO, a.s.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R6" s="12"/>
    </row>
    <row r="7" spans="2:18" ht="24.95" customHeight="1">
      <c r="B7" s="11"/>
      <c r="D7" s="18" t="s">
        <v>75</v>
      </c>
      <c r="F7" s="245" t="str">
        <f>Rekapitulace!J92</f>
        <v>Vyvedení elektrického výkonu FVE – střídavá část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R7" s="12"/>
    </row>
    <row r="8" spans="2:18" s="7" customFormat="1" ht="33.75" customHeight="1">
      <c r="B8" s="21"/>
      <c r="D8" s="17" t="s">
        <v>76</v>
      </c>
      <c r="F8" s="228" t="str">
        <f>Rekapitulace!J92</f>
        <v>Vyvedení elektrického výkonu FVE – střídavá část</v>
      </c>
      <c r="G8" s="228"/>
      <c r="H8" s="228"/>
      <c r="I8" s="228"/>
      <c r="J8" s="228"/>
      <c r="K8" s="228"/>
      <c r="L8" s="228"/>
      <c r="M8" s="179"/>
      <c r="N8" s="179"/>
      <c r="O8" s="179"/>
      <c r="P8" s="179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183" t="str">
        <f>Rekapitulace!L79</f>
        <v>Potěhy</v>
      </c>
      <c r="G10" s="183"/>
      <c r="H10" s="183"/>
      <c r="I10" s="183"/>
      <c r="J10" s="183"/>
      <c r="K10" s="183"/>
      <c r="L10" s="183"/>
      <c r="M10" s="18" t="s">
        <v>16</v>
      </c>
      <c r="O10" s="246">
        <f ca="1">Rekapitulace!$AN$8</f>
        <v>45268</v>
      </c>
      <c r="P10" s="246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2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16" t="str">
        <f>IF(Rekapitulace!$AN$11="","",Rekapitulace!$AN$11)</f>
        <v>CZ60193531</v>
      </c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1" t="str">
        <f>IF(Rekapitulace!$AN$13="","",Rekapitulace!$AN$13)</f>
        <v>Vyplň údaj</v>
      </c>
      <c r="P15" s="241"/>
      <c r="R15" s="22"/>
    </row>
    <row r="16" spans="2:18" s="7" customFormat="1" ht="18.75" customHeight="1">
      <c r="B16" s="21"/>
      <c r="E16" s="241" t="str">
        <f>IF(Rekapitulace!$E$14="","",Rekapitulace!$E$14)</f>
        <v>Vyplň údaj</v>
      </c>
      <c r="F16" s="241"/>
      <c r="G16" s="241"/>
      <c r="H16" s="241"/>
      <c r="I16" s="241"/>
      <c r="J16" s="241"/>
      <c r="K16" s="241"/>
      <c r="L16" s="241"/>
      <c r="M16" s="18" t="s">
        <v>19</v>
      </c>
      <c r="O16" s="241" t="str">
        <f>IF(Rekapitulace!$AN$14="","",Rekapitulace!$AN$14)</f>
        <v>Vyplň údaj</v>
      </c>
      <c r="P16" s="241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183" t="str">
        <f>IF(Rekapitulace!$AN$16="","",Rekapitulace!$AN$16)</f>
        <v>04083351</v>
      </c>
      <c r="P18" s="179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183" t="str">
        <f>IF(Rekapitulace!$AN$17="","",Rekapitulace!$AN$17)</f>
        <v>CZ04083351</v>
      </c>
      <c r="P19" s="179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183" t="str">
        <f>IF(Rekapitulace!$AN$19="","",Rekapitulace!$AN$19)</f>
        <v>04083351</v>
      </c>
      <c r="P21" s="179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183" t="str">
        <f>IF(Rekapitulace!$AN$20="","",Rekapitulace!$AN$20)</f>
        <v>CZ04083351</v>
      </c>
      <c r="P22" s="179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39">
        <f>$M$88</f>
        <v>0</v>
      </c>
      <c r="N25" s="239"/>
      <c r="O25" s="239"/>
      <c r="P25" s="239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98">
        <f>ROUND($M$25,2)</f>
        <v>0</v>
      </c>
      <c r="N27" s="298"/>
      <c r="O27" s="298"/>
      <c r="P27" s="298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0">
        <f>M27</f>
        <v>0</v>
      </c>
      <c r="I29" s="240"/>
      <c r="J29" s="240"/>
      <c r="M29" s="240">
        <f>(H29)*$F$29</f>
        <v>0</v>
      </c>
      <c r="N29" s="240"/>
      <c r="O29" s="240"/>
      <c r="P29" s="240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0">
        <v>0</v>
      </c>
      <c r="I30" s="240"/>
      <c r="J30" s="240"/>
      <c r="M30" s="240">
        <v>0</v>
      </c>
      <c r="N30" s="240"/>
      <c r="O30" s="240"/>
      <c r="P30" s="240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184">
        <f>(SUM($BG$90:$BG$90)+SUM($BG$109:$BG$109))</f>
        <v>0</v>
      </c>
      <c r="I31" s="179"/>
      <c r="J31" s="179"/>
      <c r="M31" s="184">
        <v>0</v>
      </c>
      <c r="N31" s="179"/>
      <c r="O31" s="179"/>
      <c r="P31" s="179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184">
        <f>(SUM($BH$90:$BH$90)+SUM($BH$109:$BH$109))</f>
        <v>0</v>
      </c>
      <c r="I32" s="179"/>
      <c r="J32" s="179"/>
      <c r="M32" s="184">
        <v>0</v>
      </c>
      <c r="N32" s="179"/>
      <c r="O32" s="179"/>
      <c r="P32" s="179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184">
        <f>(SUM($BI$90:$BI$90)+SUM($BI$109:$BI$109))</f>
        <v>0</v>
      </c>
      <c r="I33" s="179"/>
      <c r="J33" s="179"/>
      <c r="M33" s="184">
        <v>0</v>
      </c>
      <c r="N33" s="179"/>
      <c r="O33" s="179"/>
      <c r="P33" s="179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58">
        <f>ROUND(SUM($M$27:$M$33),2)</f>
        <v>0</v>
      </c>
      <c r="M35" s="258"/>
      <c r="N35" s="258"/>
      <c r="O35" s="258"/>
      <c r="P35" s="258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1" t="s">
        <v>78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179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45" t="str">
        <f>$F$6</f>
        <v>Instalace nové fotovoltaické elektrárny s výkonem 4 257,54 kWp v areálu Potěhy společnosti ČEPRO, a.s.</v>
      </c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R77" s="22"/>
    </row>
    <row r="78" spans="2:18" ht="24.95" customHeight="1">
      <c r="B78" s="11"/>
      <c r="C78" s="18" t="s">
        <v>75</v>
      </c>
      <c r="F78" s="245" t="str">
        <f>F7</f>
        <v>Vyvedení elektrického výkonu FVE – střídavá část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R78" s="12"/>
    </row>
    <row r="79" spans="2:18" s="7" customFormat="1" ht="45" customHeight="1">
      <c r="B79" s="21"/>
      <c r="C79" s="50" t="s">
        <v>76</v>
      </c>
      <c r="F79" s="210" t="str">
        <f>F8</f>
        <v>Vyvedení elektrického výkonu FVE – střídavá část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57" t="str">
        <f>$F$10</f>
        <v>Potěhy</v>
      </c>
      <c r="G81" s="257"/>
      <c r="H81" s="257"/>
      <c r="I81" s="257"/>
      <c r="J81" s="257"/>
      <c r="K81" s="257"/>
      <c r="L81" s="18" t="s">
        <v>16</v>
      </c>
      <c r="M81" s="213">
        <f ca="1">IF($O$10="","",$O$10)</f>
        <v>45268</v>
      </c>
      <c r="N81" s="213"/>
      <c r="O81" s="213"/>
      <c r="P81" s="213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212" t="str">
        <f>$E$13</f>
        <v>ČEPRO, a.s.</v>
      </c>
      <c r="G83" s="212"/>
      <c r="H83" s="212"/>
      <c r="I83" s="212"/>
      <c r="J83" s="212"/>
      <c r="K83" s="212"/>
      <c r="L83" s="18" t="s">
        <v>22</v>
      </c>
      <c r="M83" s="212" t="str">
        <f>$E$19</f>
        <v>YOUNG4ENERGY s.r.o.</v>
      </c>
      <c r="N83" s="212"/>
      <c r="O83" s="212"/>
      <c r="P83" s="212"/>
      <c r="Q83" s="179"/>
      <c r="R83" s="22"/>
    </row>
    <row r="84" spans="2:18" s="7" customFormat="1" ht="15" customHeight="1">
      <c r="B84" s="21"/>
      <c r="C84" s="18" t="s">
        <v>20</v>
      </c>
      <c r="F84" s="212" t="str">
        <f>IF($E$16="","",$E$16)</f>
        <v>Vyplň údaj</v>
      </c>
      <c r="G84" s="212"/>
      <c r="H84" s="212"/>
      <c r="I84" s="212"/>
      <c r="J84" s="212"/>
      <c r="K84" s="212"/>
      <c r="L84" s="18" t="s">
        <v>23</v>
      </c>
      <c r="M84" s="212" t="str">
        <f>$E$22</f>
        <v>YOUNG4ENERGY s.r.o.</v>
      </c>
      <c r="N84" s="212"/>
      <c r="O84" s="212"/>
      <c r="P84" s="212"/>
      <c r="Q84" s="179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186" t="s">
        <v>79</v>
      </c>
      <c r="D86" s="185"/>
      <c r="E86" s="185"/>
      <c r="F86" s="185"/>
      <c r="G86" s="185"/>
      <c r="H86" s="29"/>
      <c r="I86" s="29"/>
      <c r="J86" s="29"/>
      <c r="K86" s="29"/>
      <c r="L86" s="29"/>
      <c r="M86" s="303" t="s">
        <v>80</v>
      </c>
      <c r="N86" s="303"/>
      <c r="O86" s="303"/>
      <c r="P86" s="303"/>
      <c r="Q86" s="303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M88" s="206">
        <f>ROUND($M$109,2)</f>
        <v>0</v>
      </c>
      <c r="N88" s="206"/>
      <c r="O88" s="206"/>
      <c r="P88" s="206"/>
      <c r="Q88" s="206"/>
      <c r="R88" s="22"/>
    </row>
    <row r="89" spans="2:18" s="75" customFormat="1" ht="20.1" customHeight="1">
      <c r="B89" s="91"/>
      <c r="D89" s="101" t="str">
        <f>D110</f>
        <v>Vybudovaní propoje</v>
      </c>
      <c r="E89" s="63"/>
      <c r="F89" s="63"/>
      <c r="G89" s="63"/>
      <c r="H89" s="63"/>
      <c r="I89" s="63"/>
      <c r="J89" s="63"/>
      <c r="K89" s="63"/>
      <c r="L89" s="63"/>
      <c r="M89" s="247">
        <f>N110</f>
        <v>0</v>
      </c>
      <c r="N89" s="247"/>
      <c r="O89" s="247"/>
      <c r="P89" s="247"/>
      <c r="Q89" s="247"/>
      <c r="R89" s="92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197">
        <f>ROUND(SUM(M89),2)</f>
        <v>0</v>
      </c>
      <c r="M91" s="197"/>
      <c r="N91" s="197"/>
      <c r="O91" s="197"/>
      <c r="P91" s="197"/>
      <c r="Q91" s="197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31" t="s">
        <v>83</v>
      </c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179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45" t="str">
        <f>$F$6</f>
        <v>Instalace nové fotovoltaické elektrárny s výkonem 4 257,54 kWp v areálu Potěhy společnosti ČEPRO, a.s.</v>
      </c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R99" s="131"/>
    </row>
    <row r="100" spans="2:18" ht="24.95" customHeight="1">
      <c r="B100" s="132"/>
      <c r="C100" s="18" t="s">
        <v>75</v>
      </c>
      <c r="F100" s="245" t="str">
        <f>F7</f>
        <v>Vyvedení elektrického výkonu FVE – střídavá část</v>
      </c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R100" s="133"/>
    </row>
    <row r="101" spans="2:18" s="7" customFormat="1" ht="52.5" customHeight="1">
      <c r="B101" s="130"/>
      <c r="C101" s="50" t="s">
        <v>76</v>
      </c>
      <c r="F101" s="210" t="str">
        <f>F8</f>
        <v>Vyvedení elektrického výkonu FVE – střídavá část</v>
      </c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212" t="str">
        <f>$F$10</f>
        <v>Potěhy</v>
      </c>
      <c r="G103" s="212"/>
      <c r="H103" s="212"/>
      <c r="I103" s="212"/>
      <c r="J103" s="212"/>
      <c r="K103" s="212"/>
      <c r="L103" s="18" t="s">
        <v>16</v>
      </c>
      <c r="M103" s="213">
        <f ca="1">IF($O$10="","",$O$10)</f>
        <v>45268</v>
      </c>
      <c r="N103" s="213"/>
      <c r="O103" s="213"/>
      <c r="P103" s="213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212" t="str">
        <f>$E$13</f>
        <v>ČEPRO, a.s.</v>
      </c>
      <c r="G105" s="212"/>
      <c r="H105" s="212"/>
      <c r="I105" s="212"/>
      <c r="J105" s="212"/>
      <c r="K105" s="212"/>
      <c r="L105" s="18" t="s">
        <v>22</v>
      </c>
      <c r="M105" s="183" t="str">
        <f>$E$19</f>
        <v>YOUNG4ENERGY s.r.o.</v>
      </c>
      <c r="N105" s="179"/>
      <c r="O105" s="179"/>
      <c r="P105" s="179"/>
      <c r="Q105" s="179"/>
      <c r="R105" s="131"/>
    </row>
    <row r="106" spans="2:18" s="7" customFormat="1" ht="15" customHeight="1">
      <c r="B106" s="130"/>
      <c r="C106" s="18" t="s">
        <v>20</v>
      </c>
      <c r="F106" s="212" t="str">
        <f>IF($E$16="","",$E$16)</f>
        <v>Vyplň údaj</v>
      </c>
      <c r="G106" s="212"/>
      <c r="H106" s="212"/>
      <c r="I106" s="212"/>
      <c r="J106" s="212"/>
      <c r="K106" s="212"/>
      <c r="L106" s="18" t="s">
        <v>23</v>
      </c>
      <c r="M106" s="183" t="str">
        <f>$E$22</f>
        <v>YOUNG4ENERGY s.r.o.</v>
      </c>
      <c r="N106" s="179"/>
      <c r="O106" s="179"/>
      <c r="P106" s="179"/>
      <c r="Q106" s="179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187" t="s">
        <v>86</v>
      </c>
      <c r="G108" s="188"/>
      <c r="H108" s="188"/>
      <c r="I108" s="188"/>
      <c r="J108" s="165" t="s">
        <v>87</v>
      </c>
      <c r="K108" s="165" t="s">
        <v>88</v>
      </c>
      <c r="L108" s="187" t="s">
        <v>89</v>
      </c>
      <c r="M108" s="299" t="s">
        <v>90</v>
      </c>
      <c r="N108" s="299"/>
      <c r="O108" s="299"/>
      <c r="P108" s="299"/>
      <c r="Q108" s="189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130"/>
      <c r="C109" s="58" t="s">
        <v>77</v>
      </c>
      <c r="M109" s="206">
        <f>N110</f>
        <v>0</v>
      </c>
      <c r="N109" s="206"/>
      <c r="O109" s="206"/>
      <c r="P109" s="206"/>
      <c r="Q109" s="206"/>
      <c r="R109" s="131"/>
      <c r="T109" s="57"/>
      <c r="U109" s="34"/>
      <c r="V109" s="34"/>
      <c r="W109" s="97" t="e">
        <f>#REF!+#REF!+#REF!</f>
        <v>#REF!</v>
      </c>
      <c r="X109" s="34"/>
      <c r="Y109" s="97" t="e">
        <f>#REF!+#REF!+#REF!</f>
        <v>#REF!</v>
      </c>
      <c r="Z109" s="34"/>
      <c r="AA109" s="98" t="e">
        <f>#REF!+#REF!+#REF!</f>
        <v>#REF!</v>
      </c>
      <c r="BK109" s="99"/>
    </row>
    <row r="110" spans="2:18" ht="18.75" customHeight="1">
      <c r="B110" s="130"/>
      <c r="C110" s="107"/>
      <c r="D110" s="101" t="s">
        <v>190</v>
      </c>
      <c r="E110" s="101"/>
      <c r="F110" s="147"/>
      <c r="G110" s="147"/>
      <c r="H110" s="147"/>
      <c r="I110" s="147"/>
      <c r="J110" s="101"/>
      <c r="K110" s="101"/>
      <c r="L110" s="101"/>
      <c r="M110" s="101"/>
      <c r="N110" s="260">
        <f>N111+N116+N118+N120</f>
        <v>0</v>
      </c>
      <c r="O110" s="260"/>
      <c r="P110" s="260"/>
      <c r="Q110" s="260"/>
      <c r="R110" s="131"/>
    </row>
    <row r="111" spans="2:18" ht="19.5" customHeight="1">
      <c r="B111" s="130"/>
      <c r="C111" s="107"/>
      <c r="D111" s="112" t="s">
        <v>191</v>
      </c>
      <c r="E111" s="112"/>
      <c r="F111" s="148"/>
      <c r="G111" s="148"/>
      <c r="H111" s="148"/>
      <c r="I111" s="148"/>
      <c r="J111" s="146"/>
      <c r="K111" s="142"/>
      <c r="L111" s="7"/>
      <c r="M111" s="7"/>
      <c r="N111" s="278">
        <f>SUM(N112:Q115)</f>
        <v>0</v>
      </c>
      <c r="O111" s="278"/>
      <c r="P111" s="278"/>
      <c r="Q111" s="278"/>
      <c r="R111" s="131"/>
    </row>
    <row r="112" spans="2:63" s="7" customFormat="1" ht="29.25" customHeight="1">
      <c r="B112" s="130"/>
      <c r="C112" s="120">
        <v>1</v>
      </c>
      <c r="D112" s="122"/>
      <c r="E112" s="169"/>
      <c r="F112" s="295" t="s">
        <v>213</v>
      </c>
      <c r="G112" s="296"/>
      <c r="H112" s="296"/>
      <c r="I112" s="296"/>
      <c r="J112" s="170" t="s">
        <v>100</v>
      </c>
      <c r="K112" s="121">
        <v>1</v>
      </c>
      <c r="L112" s="253">
        <v>0</v>
      </c>
      <c r="M112" s="254"/>
      <c r="N112" s="251">
        <f>ROUND(L112*K112,2)</f>
        <v>0</v>
      </c>
      <c r="O112" s="252"/>
      <c r="P112" s="252"/>
      <c r="Q112" s="252"/>
      <c r="R112" s="131"/>
      <c r="T112" s="103"/>
      <c r="U112" s="27" t="s">
        <v>27</v>
      </c>
      <c r="V112" s="119">
        <v>0.497</v>
      </c>
      <c r="W112" s="119">
        <f>$V$112*$K$112</f>
        <v>0.497</v>
      </c>
      <c r="X112" s="119">
        <v>0.00034</v>
      </c>
      <c r="Y112" s="119">
        <f>$X$112*$K$112</f>
        <v>0.00034</v>
      </c>
      <c r="Z112" s="119">
        <v>0</v>
      </c>
      <c r="AA112" s="104">
        <f>$Z$112*$K$112</f>
        <v>0</v>
      </c>
      <c r="BE112" s="80"/>
      <c r="BF112" s="80"/>
      <c r="BG112" s="80"/>
      <c r="BH112" s="80"/>
      <c r="BI112" s="80"/>
      <c r="BK112" s="80"/>
    </row>
    <row r="113" spans="2:63" s="7" customFormat="1" ht="44.25" customHeight="1">
      <c r="B113" s="130"/>
      <c r="C113" s="120">
        <f>C112+1</f>
        <v>2</v>
      </c>
      <c r="D113" s="122"/>
      <c r="E113" s="169"/>
      <c r="F113" s="295" t="s">
        <v>196</v>
      </c>
      <c r="G113" s="296"/>
      <c r="H113" s="296"/>
      <c r="I113" s="296"/>
      <c r="J113" s="170" t="s">
        <v>100</v>
      </c>
      <c r="K113" s="121">
        <v>1</v>
      </c>
      <c r="L113" s="253">
        <v>0</v>
      </c>
      <c r="M113" s="254"/>
      <c r="N113" s="251">
        <f>ROUND(L113*K113,2)</f>
        <v>0</v>
      </c>
      <c r="O113" s="252"/>
      <c r="P113" s="252"/>
      <c r="Q113" s="252"/>
      <c r="R113" s="131"/>
      <c r="T113" s="108"/>
      <c r="U113" s="27"/>
      <c r="V113" s="119"/>
      <c r="W113" s="119"/>
      <c r="X113" s="119"/>
      <c r="Y113" s="119"/>
      <c r="Z113" s="119"/>
      <c r="AA113" s="104"/>
      <c r="BE113" s="80"/>
      <c r="BF113" s="80"/>
      <c r="BG113" s="80"/>
      <c r="BH113" s="80"/>
      <c r="BI113" s="80"/>
      <c r="BK113" s="80"/>
    </row>
    <row r="114" spans="2:63" s="7" customFormat="1" ht="46.5" customHeight="1">
      <c r="B114" s="130"/>
      <c r="C114" s="120">
        <f aca="true" t="shared" si="0" ref="C114:C115">C113+1</f>
        <v>3</v>
      </c>
      <c r="D114" s="122"/>
      <c r="E114" s="169"/>
      <c r="F114" s="295" t="s">
        <v>221</v>
      </c>
      <c r="G114" s="296"/>
      <c r="H114" s="296"/>
      <c r="I114" s="296"/>
      <c r="J114" s="170" t="s">
        <v>100</v>
      </c>
      <c r="K114" s="121">
        <v>1</v>
      </c>
      <c r="L114" s="253">
        <v>0</v>
      </c>
      <c r="M114" s="254"/>
      <c r="N114" s="251">
        <f>ROUND(L114*K114,2)</f>
        <v>0</v>
      </c>
      <c r="O114" s="252"/>
      <c r="P114" s="252"/>
      <c r="Q114" s="252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63" s="7" customFormat="1" ht="30" customHeight="1">
      <c r="B115" s="130"/>
      <c r="C115" s="120">
        <f t="shared" si="0"/>
        <v>4</v>
      </c>
      <c r="D115" s="122"/>
      <c r="E115" s="169"/>
      <c r="F115" s="295" t="s">
        <v>197</v>
      </c>
      <c r="G115" s="296"/>
      <c r="H115" s="296"/>
      <c r="I115" s="296"/>
      <c r="J115" s="170" t="s">
        <v>100</v>
      </c>
      <c r="K115" s="121">
        <v>1</v>
      </c>
      <c r="L115" s="253">
        <v>0</v>
      </c>
      <c r="M115" s="254"/>
      <c r="N115" s="251">
        <f>ROUND(L115*K115,2)</f>
        <v>0</v>
      </c>
      <c r="O115" s="252"/>
      <c r="P115" s="252"/>
      <c r="Q115" s="252"/>
      <c r="R115" s="131"/>
      <c r="T115" s="108"/>
      <c r="U115" s="27"/>
      <c r="V115" s="119"/>
      <c r="W115" s="119"/>
      <c r="X115" s="119"/>
      <c r="Y115" s="119"/>
      <c r="Z115" s="119"/>
      <c r="AA115" s="104"/>
      <c r="BE115" s="80"/>
      <c r="BF115" s="80"/>
      <c r="BG115" s="80"/>
      <c r="BH115" s="80"/>
      <c r="BI115" s="80"/>
      <c r="BK115" s="80"/>
    </row>
    <row r="116" spans="1:63" s="7" customFormat="1" ht="19.5" customHeight="1">
      <c r="A116" s="113"/>
      <c r="B116" s="136"/>
      <c r="C116" s="113"/>
      <c r="D116" s="112" t="s">
        <v>222</v>
      </c>
      <c r="E116" s="112"/>
      <c r="F116" s="196"/>
      <c r="G116" s="196"/>
      <c r="H116" s="196"/>
      <c r="I116" s="196"/>
      <c r="J116" s="112"/>
      <c r="K116" s="112"/>
      <c r="L116" s="112"/>
      <c r="M116" s="112"/>
      <c r="N116" s="280">
        <f>SUM(N117)</f>
        <v>0</v>
      </c>
      <c r="O116" s="280"/>
      <c r="P116" s="280"/>
      <c r="Q116" s="280"/>
      <c r="R116" s="131"/>
      <c r="T116" s="103"/>
      <c r="U116" s="27" t="s">
        <v>27</v>
      </c>
      <c r="V116" s="119">
        <v>0.497</v>
      </c>
      <c r="W116" s="119">
        <f>$V$112*$K$112</f>
        <v>0.497</v>
      </c>
      <c r="X116" s="119">
        <v>0.00034</v>
      </c>
      <c r="Y116" s="119">
        <f>$X$112*$K$112</f>
        <v>0.00034</v>
      </c>
      <c r="Z116" s="119">
        <v>0</v>
      </c>
      <c r="AA116" s="104">
        <f>$Z$112*$K$112</f>
        <v>0</v>
      </c>
      <c r="BE116" s="80"/>
      <c r="BF116" s="80"/>
      <c r="BG116" s="80"/>
      <c r="BH116" s="80"/>
      <c r="BI116" s="80"/>
      <c r="BK116" s="80"/>
    </row>
    <row r="117" spans="2:18" ht="13.5">
      <c r="B117" s="130"/>
      <c r="C117" s="120">
        <f>C115+1</f>
        <v>5</v>
      </c>
      <c r="D117" s="122"/>
      <c r="E117" s="169"/>
      <c r="F117" s="300" t="s">
        <v>198</v>
      </c>
      <c r="G117" s="301" t="s">
        <v>192</v>
      </c>
      <c r="H117" s="301" t="s">
        <v>192</v>
      </c>
      <c r="I117" s="301" t="s">
        <v>192</v>
      </c>
      <c r="J117" s="170" t="s">
        <v>100</v>
      </c>
      <c r="K117" s="121">
        <v>1</v>
      </c>
      <c r="L117" s="253">
        <v>0</v>
      </c>
      <c r="M117" s="254"/>
      <c r="N117" s="251">
        <f>ROUND(L117*K117,2)</f>
        <v>0</v>
      </c>
      <c r="O117" s="302"/>
      <c r="P117" s="302"/>
      <c r="Q117" s="302"/>
      <c r="R117" s="131"/>
    </row>
    <row r="118" spans="2:63" s="7" customFormat="1" ht="18" customHeight="1">
      <c r="B118" s="130"/>
      <c r="C118" s="113"/>
      <c r="D118" s="112" t="s">
        <v>193</v>
      </c>
      <c r="E118" s="112"/>
      <c r="F118" s="196"/>
      <c r="G118" s="196"/>
      <c r="H118" s="196"/>
      <c r="I118" s="196"/>
      <c r="J118" s="112"/>
      <c r="K118" s="112"/>
      <c r="L118" s="112"/>
      <c r="M118" s="112"/>
      <c r="N118" s="280">
        <f>SUM(N119)</f>
        <v>0</v>
      </c>
      <c r="O118" s="280"/>
      <c r="P118" s="280"/>
      <c r="Q118" s="280"/>
      <c r="R118" s="131"/>
      <c r="T118" s="108"/>
      <c r="U118" s="27"/>
      <c r="V118" s="119"/>
      <c r="W118" s="119"/>
      <c r="X118" s="119"/>
      <c r="Y118" s="119"/>
      <c r="Z118" s="119"/>
      <c r="AA118" s="104"/>
      <c r="BE118" s="80"/>
      <c r="BF118" s="80"/>
      <c r="BG118" s="80"/>
      <c r="BH118" s="80"/>
      <c r="BI118" s="80"/>
      <c r="BK118" s="80"/>
    </row>
    <row r="119" spans="2:63" s="7" customFormat="1" ht="45" customHeight="1">
      <c r="B119" s="130"/>
      <c r="C119" s="143">
        <f>C117+1</f>
        <v>6</v>
      </c>
      <c r="D119" s="143"/>
      <c r="E119" s="173"/>
      <c r="F119" s="281" t="s">
        <v>199</v>
      </c>
      <c r="G119" s="282"/>
      <c r="H119" s="282"/>
      <c r="I119" s="283"/>
      <c r="J119" s="170" t="s">
        <v>100</v>
      </c>
      <c r="K119" s="174">
        <v>1</v>
      </c>
      <c r="L119" s="294">
        <v>0</v>
      </c>
      <c r="M119" s="297"/>
      <c r="N119" s="273">
        <f>ROUND(L119*K119,2)</f>
        <v>0</v>
      </c>
      <c r="O119" s="274"/>
      <c r="P119" s="274"/>
      <c r="Q119" s="275"/>
      <c r="R119" s="131"/>
      <c r="T119" s="108"/>
      <c r="U119" s="27"/>
      <c r="V119" s="119"/>
      <c r="W119" s="119"/>
      <c r="X119" s="119"/>
      <c r="Y119" s="119"/>
      <c r="Z119" s="119"/>
      <c r="AA119" s="104"/>
      <c r="BE119" s="80"/>
      <c r="BF119" s="80"/>
      <c r="BG119" s="80"/>
      <c r="BH119" s="80"/>
      <c r="BI119" s="80"/>
      <c r="BK119" s="80"/>
    </row>
    <row r="120" spans="1:18" ht="18.75" customHeight="1">
      <c r="A120" s="7"/>
      <c r="B120" s="130"/>
      <c r="C120" s="113"/>
      <c r="D120" s="112" t="s">
        <v>201</v>
      </c>
      <c r="E120" s="112"/>
      <c r="F120" s="196"/>
      <c r="G120" s="196"/>
      <c r="H120" s="196"/>
      <c r="I120" s="196"/>
      <c r="J120" s="112"/>
      <c r="K120" s="112"/>
      <c r="L120" s="112"/>
      <c r="M120" s="112"/>
      <c r="N120" s="262">
        <f>SUM(N121:Q122)</f>
        <v>0</v>
      </c>
      <c r="O120" s="262"/>
      <c r="P120" s="262"/>
      <c r="Q120" s="262"/>
      <c r="R120" s="133"/>
    </row>
    <row r="121" spans="1:18" ht="84.75" customHeight="1">
      <c r="A121" s="7"/>
      <c r="B121" s="130"/>
      <c r="C121" s="143">
        <f>C119+1</f>
        <v>7</v>
      </c>
      <c r="D121" s="143"/>
      <c r="E121" s="175"/>
      <c r="F121" s="270" t="s">
        <v>166</v>
      </c>
      <c r="G121" s="271"/>
      <c r="H121" s="271"/>
      <c r="I121" s="272"/>
      <c r="J121" s="176" t="s">
        <v>100</v>
      </c>
      <c r="K121" s="174">
        <v>1</v>
      </c>
      <c r="L121" s="294">
        <v>0</v>
      </c>
      <c r="M121" s="297"/>
      <c r="N121" s="273">
        <f>ROUND(K121*L121,2)</f>
        <v>0</v>
      </c>
      <c r="O121" s="274"/>
      <c r="P121" s="274"/>
      <c r="Q121" s="275"/>
      <c r="R121" s="133"/>
    </row>
    <row r="122" spans="2:18" ht="51.6" customHeight="1">
      <c r="B122" s="130"/>
      <c r="C122" s="143">
        <f>C121+1</f>
        <v>8</v>
      </c>
      <c r="D122" s="143"/>
      <c r="E122" s="173"/>
      <c r="F122" s="270" t="s">
        <v>150</v>
      </c>
      <c r="G122" s="271"/>
      <c r="H122" s="271"/>
      <c r="I122" s="272"/>
      <c r="J122" s="170" t="s">
        <v>100</v>
      </c>
      <c r="K122" s="174">
        <v>1</v>
      </c>
      <c r="L122" s="294">
        <v>0</v>
      </c>
      <c r="M122" s="294"/>
      <c r="N122" s="273">
        <f aca="true" t="shared" si="1" ref="N122">ROUND(K122*L122,2)</f>
        <v>0</v>
      </c>
      <c r="O122" s="274"/>
      <c r="P122" s="274"/>
      <c r="Q122" s="275"/>
      <c r="R122" s="133"/>
    </row>
    <row r="123" spans="2:18" ht="14.25" customHeight="1">
      <c r="B123" s="177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80"/>
      <c r="O123" s="180"/>
      <c r="P123" s="180"/>
      <c r="Q123" s="180"/>
      <c r="R123" s="110"/>
    </row>
  </sheetData>
  <sheetProtection algorithmName="SHA-512" hashValue="SZGWScq+PJtHopbAOzr2yfI+0tuHd5Y3vptmih29D4vPhHPfpNktK5Kz552j0voocFhmMB7XHjwaXEpdkOJmJQ==" saltValue="SgmbhYa0oSNJTwkwIGE8Uw==" spinCount="100000" sheet="1" selectLockedCells="1"/>
  <mergeCells count="71">
    <mergeCell ref="F8:L8"/>
    <mergeCell ref="N110:Q110"/>
    <mergeCell ref="N111:Q111"/>
    <mergeCell ref="L112:M112"/>
    <mergeCell ref="N112:Q112"/>
    <mergeCell ref="F100:P100"/>
    <mergeCell ref="L91:Q91"/>
    <mergeCell ref="F101:P101"/>
    <mergeCell ref="M103:P103"/>
    <mergeCell ref="F112:I112"/>
    <mergeCell ref="M86:Q86"/>
    <mergeCell ref="M88:Q88"/>
    <mergeCell ref="M89:Q89"/>
    <mergeCell ref="F105:K105"/>
    <mergeCell ref="F106:K106"/>
    <mergeCell ref="L121:M121"/>
    <mergeCell ref="N121:Q121"/>
    <mergeCell ref="L113:M113"/>
    <mergeCell ref="N113:Q113"/>
    <mergeCell ref="L114:M114"/>
    <mergeCell ref="N114:Q114"/>
    <mergeCell ref="L115:M115"/>
    <mergeCell ref="N115:Q115"/>
    <mergeCell ref="F122:I122"/>
    <mergeCell ref="L122:M122"/>
    <mergeCell ref="N122:Q122"/>
    <mergeCell ref="F113:I113"/>
    <mergeCell ref="F114:I114"/>
    <mergeCell ref="F115:I115"/>
    <mergeCell ref="F119:I119"/>
    <mergeCell ref="F117:I117"/>
    <mergeCell ref="L119:M119"/>
    <mergeCell ref="N119:Q119"/>
    <mergeCell ref="N120:Q120"/>
    <mergeCell ref="N116:Q116"/>
    <mergeCell ref="L117:M117"/>
    <mergeCell ref="N117:Q117"/>
    <mergeCell ref="N118:Q118"/>
    <mergeCell ref="F121:I121"/>
    <mergeCell ref="S2:AC2"/>
    <mergeCell ref="F81:K81"/>
    <mergeCell ref="M81:P81"/>
    <mergeCell ref="F77:P77"/>
    <mergeCell ref="F78:P78"/>
    <mergeCell ref="F79:P79"/>
    <mergeCell ref="O16:P16"/>
    <mergeCell ref="O15:P15"/>
    <mergeCell ref="O10:P10"/>
    <mergeCell ref="O12:P12"/>
    <mergeCell ref="H29:J29"/>
    <mergeCell ref="H30:J30"/>
    <mergeCell ref="F6:P6"/>
    <mergeCell ref="F7:P7"/>
    <mergeCell ref="C4:Q4"/>
    <mergeCell ref="E16:L16"/>
    <mergeCell ref="H1:K1"/>
    <mergeCell ref="C97:P97"/>
    <mergeCell ref="C75:P75"/>
    <mergeCell ref="M109:Q109"/>
    <mergeCell ref="M25:P25"/>
    <mergeCell ref="M27:P27"/>
    <mergeCell ref="M29:P29"/>
    <mergeCell ref="M30:P30"/>
    <mergeCell ref="L35:P35"/>
    <mergeCell ref="F83:K83"/>
    <mergeCell ref="F84:K84"/>
    <mergeCell ref="M83:P83"/>
    <mergeCell ref="M84:P84"/>
    <mergeCell ref="M108:P108"/>
    <mergeCell ref="F99:P99"/>
    <mergeCell ref="F103:K103"/>
  </mergeCells>
  <hyperlinks>
    <hyperlink ref="F1:G1" location="C2" tooltip="Krycí list rozpočtu" display="1) Krycí list rozpočtu"/>
    <hyperlink ref="L1" location="'IO02'!C115" tooltip="Rozpočet" display="3) Rozpočet"/>
    <hyperlink ref="S1:T1" location="'Rekapitulace stavby'!C2" tooltip="Rekapitulace stavby" display="Rekapitulace stavby"/>
    <hyperlink ref="F1" location="'IO02'!C4" tooltip="Krycí list rozpočtu" display="1) Krycí list rozpočtu"/>
    <hyperlink ref="S1" location="Rekapitulace!C4" tooltip="Rekapitulace stavby" display="Rekapitulace stavby"/>
    <hyperlink ref="H1:K1" location="'IO02'!C91" tooltip="Rekapitulace rozpočtu" display="2) Rekapitulace rozpočtu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3E01-473D-4AC6-84B2-646FAF59004F}">
  <dimension ref="A1:BK125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O10" sqref="O10:P10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0.1640625" style="6" hidden="1" customWidth="1"/>
    <col min="27" max="28" width="1.6679687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50" t="s">
        <v>107</v>
      </c>
      <c r="I1" s="250"/>
      <c r="J1" s="250"/>
      <c r="K1" s="250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244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305" t="s">
        <v>3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1" t="s">
        <v>74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45" t="str">
        <f>Rekapitulace!$K$6</f>
        <v>Instalace nové fotovoltaické elektrárny s výkonem 4 257,54 kWp v areálu Potěhy společnosti ČEPRO, a.s.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R6" s="12"/>
    </row>
    <row r="7" spans="2:18" ht="24.95" customHeight="1">
      <c r="B7" s="11"/>
      <c r="D7" s="18" t="s">
        <v>75</v>
      </c>
      <c r="F7" s="245" t="str">
        <f>Rekapitulace!J93</f>
        <v>Vedení elektrického výkonu z nové trafostanice do stávajících rozvodů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R7" s="12"/>
    </row>
    <row r="8" spans="2:18" s="7" customFormat="1" ht="33.75" customHeight="1">
      <c r="B8" s="21"/>
      <c r="D8" s="17" t="s">
        <v>76</v>
      </c>
      <c r="F8" s="228" t="str">
        <f>Rekapitulace!J93</f>
        <v>Vedení elektrického výkonu z nové trafostanice do stávajících rozvodů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Potěhy</v>
      </c>
      <c r="G10" s="212"/>
      <c r="H10" s="212"/>
      <c r="I10" s="212"/>
      <c r="J10" s="212"/>
      <c r="K10" s="212"/>
      <c r="L10" s="212"/>
      <c r="M10" s="18" t="s">
        <v>16</v>
      </c>
      <c r="O10" s="246">
        <f ca="1">Rekapitulace!$AN$8</f>
        <v>45268</v>
      </c>
      <c r="P10" s="246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1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1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1" t="str">
        <f>IF(Rekapitulace!$AN$13="","",Rekapitulace!$AN$13)</f>
        <v>Vyplň údaj</v>
      </c>
      <c r="P15" s="242"/>
      <c r="R15" s="22"/>
    </row>
    <row r="16" spans="2:18" s="7" customFormat="1" ht="18.75" customHeight="1">
      <c r="B16" s="21"/>
      <c r="E16" s="241" t="str">
        <f>IF(Rekapitulace!$E$14="","",Rekapitulace!$E$14)</f>
        <v>Vyplň údaj</v>
      </c>
      <c r="F16" s="242"/>
      <c r="G16" s="242"/>
      <c r="H16" s="242"/>
      <c r="I16" s="242"/>
      <c r="J16" s="242"/>
      <c r="K16" s="242"/>
      <c r="L16" s="242"/>
      <c r="M16" s="18" t="s">
        <v>19</v>
      </c>
      <c r="O16" s="241" t="str">
        <f>IF(Rekapitulace!$AN$14="","",Rekapitulace!$AN$14)</f>
        <v>Vyplň údaj</v>
      </c>
      <c r="P16" s="242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1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1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1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1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39">
        <f>$N$88</f>
        <v>0</v>
      </c>
      <c r="N25" s="211"/>
      <c r="O25" s="211"/>
      <c r="P25" s="211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3">
        <f>ROUND($M$25,2)</f>
        <v>0</v>
      </c>
      <c r="N27" s="211"/>
      <c r="O27" s="211"/>
      <c r="P27" s="211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0">
        <f>M27</f>
        <v>0</v>
      </c>
      <c r="I29" s="211"/>
      <c r="J29" s="211"/>
      <c r="M29" s="240">
        <f>(H29)*$F$29</f>
        <v>0</v>
      </c>
      <c r="N29" s="211"/>
      <c r="O29" s="211"/>
      <c r="P29" s="211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0">
        <v>0</v>
      </c>
      <c r="I30" s="211"/>
      <c r="J30" s="211"/>
      <c r="M30" s="240">
        <v>0</v>
      </c>
      <c r="N30" s="211"/>
      <c r="O30" s="211"/>
      <c r="P30" s="211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0">
        <f>(SUM($BG$90:$BG$90)+SUM($BG$109:$BG$109))</f>
        <v>0</v>
      </c>
      <c r="I31" s="211"/>
      <c r="J31" s="211"/>
      <c r="M31" s="240">
        <v>0</v>
      </c>
      <c r="N31" s="211"/>
      <c r="O31" s="211"/>
      <c r="P31" s="211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0">
        <f>(SUM($BH$90:$BH$90)+SUM($BH$109:$BH$109))</f>
        <v>0</v>
      </c>
      <c r="I32" s="211"/>
      <c r="J32" s="211"/>
      <c r="M32" s="240">
        <v>0</v>
      </c>
      <c r="N32" s="211"/>
      <c r="O32" s="211"/>
      <c r="P32" s="211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0">
        <f>(SUM($BI$90:$BI$90)+SUM($BI$109:$BI$109))</f>
        <v>0</v>
      </c>
      <c r="I33" s="211"/>
      <c r="J33" s="211"/>
      <c r="M33" s="240">
        <v>0</v>
      </c>
      <c r="N33" s="211"/>
      <c r="O33" s="211"/>
      <c r="P33" s="211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58">
        <f>ROUND(SUM($M$27:$M$33),2)</f>
        <v>0</v>
      </c>
      <c r="M35" s="198"/>
      <c r="N35" s="198"/>
      <c r="O35" s="198"/>
      <c r="P35" s="198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1" t="s">
        <v>78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45" t="str">
        <f>$F$6</f>
        <v>Instalace nové fotovoltaické elektrárny s výkonem 4 257,54 kWp v areálu Potěhy společnosti ČEPRO, a.s.</v>
      </c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R77" s="22"/>
    </row>
    <row r="78" spans="2:18" ht="24.95" customHeight="1">
      <c r="B78" s="11"/>
      <c r="C78" s="18" t="s">
        <v>75</v>
      </c>
      <c r="F78" s="245" t="str">
        <f>F7</f>
        <v>Vedení elektrického výkonu z nové trafostanice do stávajících rozvodů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R78" s="12"/>
    </row>
    <row r="79" spans="2:18" s="7" customFormat="1" ht="37.5" customHeight="1">
      <c r="B79" s="21"/>
      <c r="C79" s="50" t="s">
        <v>76</v>
      </c>
      <c r="F79" s="210" t="str">
        <f>F8</f>
        <v>Vedení elektrického výkonu z nové trafostanice do stávajících rozvodů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57" t="str">
        <f>$F$10</f>
        <v>Potěhy</v>
      </c>
      <c r="G81" s="257"/>
      <c r="H81" s="257"/>
      <c r="I81" s="257"/>
      <c r="J81" s="257"/>
      <c r="K81" s="257"/>
      <c r="L81" s="18" t="s">
        <v>16</v>
      </c>
      <c r="M81" s="213">
        <f ca="1">IF($O$10="","",$O$10)</f>
        <v>45268</v>
      </c>
      <c r="N81" s="211"/>
      <c r="O81" s="211"/>
      <c r="P81" s="211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1"/>
      <c r="O83" s="211"/>
      <c r="P83" s="211"/>
      <c r="Q83" s="211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1"/>
      <c r="O84" s="211"/>
      <c r="P84" s="211"/>
      <c r="Q84" s="211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3" t="s">
        <v>79</v>
      </c>
      <c r="D86" s="198"/>
      <c r="E86" s="198"/>
      <c r="F86" s="198"/>
      <c r="G86" s="198"/>
      <c r="H86" s="29"/>
      <c r="I86" s="29"/>
      <c r="J86" s="29"/>
      <c r="K86" s="29"/>
      <c r="L86" s="29"/>
      <c r="M86" s="29"/>
      <c r="N86" s="249" t="s">
        <v>80</v>
      </c>
      <c r="O86" s="211"/>
      <c r="P86" s="211"/>
      <c r="Q86" s="211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06">
        <f>ROUND($M$109,2)</f>
        <v>0</v>
      </c>
      <c r="O88" s="211"/>
      <c r="P88" s="211"/>
      <c r="Q88" s="211"/>
      <c r="R88" s="22"/>
    </row>
    <row r="89" spans="2:18" s="75" customFormat="1" ht="20.1" customHeight="1">
      <c r="B89" s="91"/>
      <c r="D89" s="101" t="str">
        <f>D110</f>
        <v>Vybudovaní propoje</v>
      </c>
      <c r="E89" s="63"/>
      <c r="F89" s="63"/>
      <c r="G89" s="63"/>
      <c r="H89" s="63"/>
      <c r="I89" s="63"/>
      <c r="J89" s="63"/>
      <c r="K89" s="63"/>
      <c r="L89" s="63"/>
      <c r="M89" s="63"/>
      <c r="N89" s="247">
        <f>N110</f>
        <v>0</v>
      </c>
      <c r="O89" s="248"/>
      <c r="P89" s="248"/>
      <c r="Q89" s="248"/>
      <c r="R89" s="92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197">
        <f>ROUND(SUM($N$89:$Q$89),2)</f>
        <v>0</v>
      </c>
      <c r="M91" s="198"/>
      <c r="N91" s="198"/>
      <c r="O91" s="198"/>
      <c r="P91" s="198"/>
      <c r="Q91" s="198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31" t="s">
        <v>83</v>
      </c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45" t="str">
        <f>$F$6</f>
        <v>Instalace nové fotovoltaické elektrárny s výkonem 4 257,54 kWp v areálu Potěhy společnosti ČEPRO, a.s.</v>
      </c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R99" s="131"/>
    </row>
    <row r="100" spans="2:18" ht="24.95" customHeight="1">
      <c r="B100" s="132"/>
      <c r="C100" s="18" t="s">
        <v>75</v>
      </c>
      <c r="F100" s="245" t="str">
        <f>F7</f>
        <v>Vedení elektrického výkonu z nové trafostanice do stávajících rozvodů</v>
      </c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R100" s="133"/>
    </row>
    <row r="101" spans="2:18" s="7" customFormat="1" ht="52.5" customHeight="1">
      <c r="B101" s="130"/>
      <c r="C101" s="50" t="s">
        <v>76</v>
      </c>
      <c r="F101" s="210" t="str">
        <f>F8</f>
        <v>Vedení elektrického výkonu z nové trafostanice do stávajících rozvodů</v>
      </c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16" t="str">
        <f>$F$10</f>
        <v>Potěhy</v>
      </c>
      <c r="L103" s="18" t="s">
        <v>16</v>
      </c>
      <c r="M103" s="213">
        <f ca="1">IF($O$10="","",$O$10)</f>
        <v>45268</v>
      </c>
      <c r="N103" s="211"/>
      <c r="O103" s="211"/>
      <c r="P103" s="211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16" t="str">
        <f>$E$13</f>
        <v>ČEPRO, a.s.</v>
      </c>
      <c r="L105" s="18" t="s">
        <v>22</v>
      </c>
      <c r="M105" s="212" t="str">
        <f>$E$19</f>
        <v>YOUNG4ENERGY s.r.o.</v>
      </c>
      <c r="N105" s="211"/>
      <c r="O105" s="211"/>
      <c r="P105" s="211"/>
      <c r="Q105" s="211"/>
      <c r="R105" s="131"/>
    </row>
    <row r="106" spans="2:18" s="7" customFormat="1" ht="15" customHeight="1">
      <c r="B106" s="130"/>
      <c r="C106" s="18" t="s">
        <v>20</v>
      </c>
      <c r="F106" s="16" t="str">
        <f>IF($E$16="","",$E$16)</f>
        <v>Vyplň údaj</v>
      </c>
      <c r="L106" s="18" t="s">
        <v>23</v>
      </c>
      <c r="M106" s="212" t="str">
        <f>$E$22</f>
        <v>YOUNG4ENERGY s.r.o.</v>
      </c>
      <c r="N106" s="211"/>
      <c r="O106" s="211"/>
      <c r="P106" s="211"/>
      <c r="Q106" s="211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267" t="s">
        <v>86</v>
      </c>
      <c r="G108" s="268"/>
      <c r="H108" s="268"/>
      <c r="I108" s="268"/>
      <c r="J108" s="165" t="s">
        <v>87</v>
      </c>
      <c r="K108" s="165" t="s">
        <v>88</v>
      </c>
      <c r="L108" s="267" t="s">
        <v>89</v>
      </c>
      <c r="M108" s="268"/>
      <c r="N108" s="267" t="s">
        <v>90</v>
      </c>
      <c r="O108" s="268"/>
      <c r="P108" s="268"/>
      <c r="Q108" s="269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130"/>
      <c r="C109" s="58" t="s">
        <v>77</v>
      </c>
      <c r="M109" s="304">
        <f>N110</f>
        <v>0</v>
      </c>
      <c r="N109" s="304"/>
      <c r="O109" s="304"/>
      <c r="P109" s="304"/>
      <c r="Q109" s="304"/>
      <c r="R109" s="131"/>
      <c r="T109" s="57"/>
      <c r="U109" s="34"/>
      <c r="V109" s="34"/>
      <c r="W109" s="97" t="e">
        <f>#REF!+#REF!+#REF!</f>
        <v>#REF!</v>
      </c>
      <c r="X109" s="34"/>
      <c r="Y109" s="97" t="e">
        <f>#REF!+#REF!+#REF!</f>
        <v>#REF!</v>
      </c>
      <c r="Z109" s="34"/>
      <c r="AA109" s="98" t="e">
        <f>#REF!+#REF!+#REF!</f>
        <v>#REF!</v>
      </c>
      <c r="BK109" s="99"/>
    </row>
    <row r="110" spans="2:18" ht="18.75" customHeight="1">
      <c r="B110" s="130"/>
      <c r="C110" s="107"/>
      <c r="D110" s="101" t="s">
        <v>190</v>
      </c>
      <c r="E110" s="101"/>
      <c r="F110" s="147"/>
      <c r="G110" s="147"/>
      <c r="H110" s="147"/>
      <c r="I110" s="147"/>
      <c r="J110" s="101"/>
      <c r="K110" s="101"/>
      <c r="L110" s="101"/>
      <c r="M110" s="101"/>
      <c r="N110" s="260">
        <f>N111+N116+N118+N120+N123</f>
        <v>0</v>
      </c>
      <c r="O110" s="260"/>
      <c r="P110" s="260"/>
      <c r="Q110" s="260"/>
      <c r="R110" s="131"/>
    </row>
    <row r="111" spans="2:18" ht="19.5" customHeight="1">
      <c r="B111" s="130"/>
      <c r="C111" s="107"/>
      <c r="D111" s="112" t="s">
        <v>191</v>
      </c>
      <c r="E111" s="112"/>
      <c r="F111" s="148"/>
      <c r="G111" s="148"/>
      <c r="H111" s="148"/>
      <c r="I111" s="148"/>
      <c r="J111" s="146"/>
      <c r="K111" s="142"/>
      <c r="L111" s="7"/>
      <c r="M111" s="7"/>
      <c r="N111" s="278">
        <f>SUM(N112:Q115)</f>
        <v>0</v>
      </c>
      <c r="O111" s="278"/>
      <c r="P111" s="278"/>
      <c r="Q111" s="278"/>
      <c r="R111" s="131"/>
    </row>
    <row r="112" spans="2:63" s="7" customFormat="1" ht="30" customHeight="1">
      <c r="B112" s="130"/>
      <c r="C112" s="120">
        <v>1</v>
      </c>
      <c r="D112" s="122"/>
      <c r="E112" s="169"/>
      <c r="F112" s="295" t="s">
        <v>213</v>
      </c>
      <c r="G112" s="296"/>
      <c r="H112" s="296"/>
      <c r="I112" s="296"/>
      <c r="J112" s="170" t="s">
        <v>100</v>
      </c>
      <c r="K112" s="121">
        <v>1</v>
      </c>
      <c r="L112" s="253">
        <v>0</v>
      </c>
      <c r="M112" s="254"/>
      <c r="N112" s="251">
        <f aca="true" t="shared" si="0" ref="N112:N115">ROUND(L112*K112,2)</f>
        <v>0</v>
      </c>
      <c r="O112" s="252"/>
      <c r="P112" s="252"/>
      <c r="Q112" s="252"/>
      <c r="R112" s="131"/>
      <c r="T112" s="103"/>
      <c r="U112" s="27" t="s">
        <v>27</v>
      </c>
      <c r="V112" s="119">
        <v>0.497</v>
      </c>
      <c r="W112" s="119">
        <f>$V$112*$K$112</f>
        <v>0.497</v>
      </c>
      <c r="X112" s="119">
        <v>0.00034</v>
      </c>
      <c r="Y112" s="119">
        <f>$X$112*$K$112</f>
        <v>0.00034</v>
      </c>
      <c r="Z112" s="119">
        <v>0</v>
      </c>
      <c r="AA112" s="104">
        <f>$Z$112*$K$112</f>
        <v>0</v>
      </c>
      <c r="BE112" s="80"/>
      <c r="BF112" s="80"/>
      <c r="BG112" s="80"/>
      <c r="BH112" s="80"/>
      <c r="BI112" s="80"/>
      <c r="BK112" s="80"/>
    </row>
    <row r="113" spans="2:63" s="7" customFormat="1" ht="44.25" customHeight="1">
      <c r="B113" s="130"/>
      <c r="C113" s="120">
        <f>C112+1</f>
        <v>2</v>
      </c>
      <c r="D113" s="122"/>
      <c r="E113" s="169"/>
      <c r="F113" s="295" t="s">
        <v>196</v>
      </c>
      <c r="G113" s="296"/>
      <c r="H113" s="296"/>
      <c r="I113" s="296"/>
      <c r="J113" s="170" t="s">
        <v>100</v>
      </c>
      <c r="K113" s="121">
        <v>1</v>
      </c>
      <c r="L113" s="253">
        <v>0</v>
      </c>
      <c r="M113" s="254"/>
      <c r="N113" s="251">
        <f t="shared" si="0"/>
        <v>0</v>
      </c>
      <c r="O113" s="252"/>
      <c r="P113" s="252"/>
      <c r="Q113" s="252"/>
      <c r="R113" s="131"/>
      <c r="T113" s="108"/>
      <c r="U113" s="27"/>
      <c r="V113" s="119"/>
      <c r="W113" s="119"/>
      <c r="X113" s="119"/>
      <c r="Y113" s="119"/>
      <c r="Z113" s="119"/>
      <c r="AA113" s="104"/>
      <c r="BE113" s="80"/>
      <c r="BF113" s="80"/>
      <c r="BG113" s="80"/>
      <c r="BH113" s="80"/>
      <c r="BI113" s="80"/>
      <c r="BK113" s="80"/>
    </row>
    <row r="114" spans="2:63" s="7" customFormat="1" ht="46.5" customHeight="1">
      <c r="B114" s="130"/>
      <c r="C114" s="120">
        <f aca="true" t="shared" si="1" ref="C114:C115">C113+1</f>
        <v>3</v>
      </c>
      <c r="D114" s="122"/>
      <c r="E114" s="169"/>
      <c r="F114" s="295" t="s">
        <v>223</v>
      </c>
      <c r="G114" s="296"/>
      <c r="H114" s="296"/>
      <c r="I114" s="296"/>
      <c r="J114" s="170" t="s">
        <v>100</v>
      </c>
      <c r="K114" s="121">
        <v>1</v>
      </c>
      <c r="L114" s="253">
        <v>0</v>
      </c>
      <c r="M114" s="254"/>
      <c r="N114" s="251">
        <f t="shared" si="0"/>
        <v>0</v>
      </c>
      <c r="O114" s="252"/>
      <c r="P114" s="252"/>
      <c r="Q114" s="252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63" s="7" customFormat="1" ht="30" customHeight="1">
      <c r="B115" s="130"/>
      <c r="C115" s="120">
        <f t="shared" si="1"/>
        <v>4</v>
      </c>
      <c r="D115" s="122"/>
      <c r="E115" s="169"/>
      <c r="F115" s="295" t="s">
        <v>197</v>
      </c>
      <c r="G115" s="296"/>
      <c r="H115" s="296"/>
      <c r="I115" s="296"/>
      <c r="J115" s="170" t="s">
        <v>100</v>
      </c>
      <c r="K115" s="121">
        <v>1</v>
      </c>
      <c r="L115" s="253">
        <v>0</v>
      </c>
      <c r="M115" s="254"/>
      <c r="N115" s="251">
        <f t="shared" si="0"/>
        <v>0</v>
      </c>
      <c r="O115" s="252"/>
      <c r="P115" s="252"/>
      <c r="Q115" s="252"/>
      <c r="R115" s="131"/>
      <c r="T115" s="108"/>
      <c r="U115" s="27"/>
      <c r="V115" s="119"/>
      <c r="W115" s="119"/>
      <c r="X115" s="119"/>
      <c r="Y115" s="119"/>
      <c r="Z115" s="119"/>
      <c r="AA115" s="104"/>
      <c r="BE115" s="80"/>
      <c r="BF115" s="80"/>
      <c r="BG115" s="80"/>
      <c r="BH115" s="80"/>
      <c r="BI115" s="80"/>
      <c r="BK115" s="80"/>
    </row>
    <row r="116" spans="1:63" s="7" customFormat="1" ht="19.5" customHeight="1">
      <c r="A116" s="113"/>
      <c r="B116" s="136"/>
      <c r="C116" s="113"/>
      <c r="D116" s="112" t="s">
        <v>222</v>
      </c>
      <c r="E116" s="112"/>
      <c r="F116" s="196"/>
      <c r="G116" s="196"/>
      <c r="H116" s="196"/>
      <c r="I116" s="196"/>
      <c r="J116" s="112"/>
      <c r="K116" s="112"/>
      <c r="L116" s="112"/>
      <c r="M116" s="112"/>
      <c r="N116" s="280">
        <f>SUM(N117)</f>
        <v>0</v>
      </c>
      <c r="O116" s="280"/>
      <c r="P116" s="280"/>
      <c r="Q116" s="280"/>
      <c r="R116" s="131"/>
      <c r="T116" s="103"/>
      <c r="U116" s="27" t="s">
        <v>27</v>
      </c>
      <c r="V116" s="119">
        <v>0.497</v>
      </c>
      <c r="W116" s="119">
        <f>$V$112*$K$112</f>
        <v>0.497</v>
      </c>
      <c r="X116" s="119">
        <v>0.00034</v>
      </c>
      <c r="Y116" s="119">
        <f>$X$112*$K$112</f>
        <v>0.00034</v>
      </c>
      <c r="Z116" s="119">
        <v>0</v>
      </c>
      <c r="AA116" s="104">
        <f>$Z$112*$K$112</f>
        <v>0</v>
      </c>
      <c r="BE116" s="80"/>
      <c r="BF116" s="80"/>
      <c r="BG116" s="80"/>
      <c r="BH116" s="80"/>
      <c r="BI116" s="80"/>
      <c r="BK116" s="80"/>
    </row>
    <row r="117" spans="2:18" ht="13.5">
      <c r="B117" s="130"/>
      <c r="C117" s="120">
        <f>C115+1</f>
        <v>5</v>
      </c>
      <c r="D117" s="122"/>
      <c r="E117" s="169"/>
      <c r="F117" s="300" t="s">
        <v>198</v>
      </c>
      <c r="G117" s="301" t="s">
        <v>192</v>
      </c>
      <c r="H117" s="301" t="s">
        <v>192</v>
      </c>
      <c r="I117" s="301" t="s">
        <v>192</v>
      </c>
      <c r="J117" s="170" t="s">
        <v>100</v>
      </c>
      <c r="K117" s="121">
        <v>1</v>
      </c>
      <c r="L117" s="253">
        <v>0</v>
      </c>
      <c r="M117" s="254"/>
      <c r="N117" s="251">
        <f aca="true" t="shared" si="2" ref="N117">ROUND(L117*K117,2)</f>
        <v>0</v>
      </c>
      <c r="O117" s="302"/>
      <c r="P117" s="302"/>
      <c r="Q117" s="302"/>
      <c r="R117" s="131"/>
    </row>
    <row r="118" spans="2:63" s="7" customFormat="1" ht="18" customHeight="1">
      <c r="B118" s="130"/>
      <c r="C118" s="113"/>
      <c r="D118" s="112" t="s">
        <v>193</v>
      </c>
      <c r="E118" s="112"/>
      <c r="F118" s="196"/>
      <c r="G118" s="196"/>
      <c r="H118" s="196"/>
      <c r="I118" s="196"/>
      <c r="J118" s="112"/>
      <c r="K118" s="112"/>
      <c r="L118" s="112"/>
      <c r="M118" s="112"/>
      <c r="N118" s="280">
        <f>SUM(N119)</f>
        <v>0</v>
      </c>
      <c r="O118" s="280"/>
      <c r="P118" s="280"/>
      <c r="Q118" s="280"/>
      <c r="R118" s="131"/>
      <c r="T118" s="108"/>
      <c r="U118" s="27"/>
      <c r="V118" s="119"/>
      <c r="W118" s="119"/>
      <c r="X118" s="119"/>
      <c r="Y118" s="119"/>
      <c r="Z118" s="119"/>
      <c r="AA118" s="104"/>
      <c r="BE118" s="80"/>
      <c r="BF118" s="80"/>
      <c r="BG118" s="80"/>
      <c r="BH118" s="80"/>
      <c r="BI118" s="80"/>
      <c r="BK118" s="80"/>
    </row>
    <row r="119" spans="2:63" s="7" customFormat="1" ht="45" customHeight="1">
      <c r="B119" s="130"/>
      <c r="C119" s="143">
        <f>C117+1</f>
        <v>6</v>
      </c>
      <c r="D119" s="143"/>
      <c r="E119" s="173"/>
      <c r="F119" s="281" t="s">
        <v>229</v>
      </c>
      <c r="G119" s="282"/>
      <c r="H119" s="282"/>
      <c r="I119" s="283"/>
      <c r="J119" s="170" t="s">
        <v>100</v>
      </c>
      <c r="K119" s="174">
        <v>1</v>
      </c>
      <c r="L119" s="294">
        <v>0</v>
      </c>
      <c r="M119" s="297"/>
      <c r="N119" s="273">
        <f aca="true" t="shared" si="3" ref="N119">ROUND(L119*K119,2)</f>
        <v>0</v>
      </c>
      <c r="O119" s="274"/>
      <c r="P119" s="274"/>
      <c r="Q119" s="275"/>
      <c r="R119" s="131"/>
      <c r="T119" s="108"/>
      <c r="U119" s="27"/>
      <c r="V119" s="119"/>
      <c r="W119" s="119"/>
      <c r="X119" s="119"/>
      <c r="Y119" s="119"/>
      <c r="Z119" s="119"/>
      <c r="AA119" s="104"/>
      <c r="BE119" s="80"/>
      <c r="BF119" s="80"/>
      <c r="BG119" s="80"/>
      <c r="BH119" s="80"/>
      <c r="BI119" s="80"/>
      <c r="BK119" s="80"/>
    </row>
    <row r="120" spans="1:18" ht="18.75" customHeight="1">
      <c r="A120" s="7"/>
      <c r="B120" s="130"/>
      <c r="C120" s="113"/>
      <c r="D120" s="112" t="s">
        <v>201</v>
      </c>
      <c r="E120" s="112"/>
      <c r="F120" s="196"/>
      <c r="G120" s="196"/>
      <c r="H120" s="196"/>
      <c r="I120" s="196"/>
      <c r="J120" s="112"/>
      <c r="K120" s="112"/>
      <c r="L120" s="112"/>
      <c r="M120" s="112"/>
      <c r="N120" s="262">
        <f>SUM(N121:Q122)</f>
        <v>0</v>
      </c>
      <c r="O120" s="262"/>
      <c r="P120" s="262"/>
      <c r="Q120" s="262"/>
      <c r="R120" s="133"/>
    </row>
    <row r="121" spans="1:18" ht="84.75" customHeight="1">
      <c r="A121" s="7"/>
      <c r="B121" s="130"/>
      <c r="C121" s="143">
        <f>C119+1</f>
        <v>7</v>
      </c>
      <c r="D121" s="143"/>
      <c r="E121" s="175"/>
      <c r="F121" s="270" t="s">
        <v>166</v>
      </c>
      <c r="G121" s="271"/>
      <c r="H121" s="271"/>
      <c r="I121" s="272"/>
      <c r="J121" s="176" t="s">
        <v>100</v>
      </c>
      <c r="K121" s="174">
        <v>1</v>
      </c>
      <c r="L121" s="294">
        <v>0</v>
      </c>
      <c r="M121" s="297"/>
      <c r="N121" s="273">
        <f>ROUND(K121*L121,2)</f>
        <v>0</v>
      </c>
      <c r="O121" s="274"/>
      <c r="P121" s="274"/>
      <c r="Q121" s="275"/>
      <c r="R121" s="133"/>
    </row>
    <row r="122" spans="2:18" ht="72" customHeight="1">
      <c r="B122" s="130"/>
      <c r="C122" s="143">
        <f>C121+1</f>
        <v>8</v>
      </c>
      <c r="D122" s="143"/>
      <c r="E122" s="173"/>
      <c r="F122" s="270" t="s">
        <v>150</v>
      </c>
      <c r="G122" s="271"/>
      <c r="H122" s="271"/>
      <c r="I122" s="272"/>
      <c r="J122" s="170" t="s">
        <v>100</v>
      </c>
      <c r="K122" s="174">
        <v>1</v>
      </c>
      <c r="L122" s="294">
        <v>0</v>
      </c>
      <c r="M122" s="294"/>
      <c r="N122" s="273">
        <f aca="true" t="shared" si="4" ref="N122">ROUND(K122*L122,2)</f>
        <v>0</v>
      </c>
      <c r="O122" s="274"/>
      <c r="P122" s="274"/>
      <c r="Q122" s="275"/>
      <c r="R122" s="133"/>
    </row>
    <row r="123" spans="1:18" ht="18.75" customHeight="1">
      <c r="A123" s="7"/>
      <c r="B123" s="130"/>
      <c r="C123" s="113"/>
      <c r="D123" s="112" t="s">
        <v>212</v>
      </c>
      <c r="E123" s="112"/>
      <c r="F123" s="196"/>
      <c r="G123" s="196"/>
      <c r="H123" s="196"/>
      <c r="I123" s="196"/>
      <c r="J123" s="112"/>
      <c r="K123" s="112"/>
      <c r="L123" s="112"/>
      <c r="M123" s="112"/>
      <c r="N123" s="262">
        <f>SUM(N124)</f>
        <v>0</v>
      </c>
      <c r="O123" s="262"/>
      <c r="P123" s="262"/>
      <c r="Q123" s="262"/>
      <c r="R123" s="133"/>
    </row>
    <row r="124" spans="1:18" ht="60.75" customHeight="1">
      <c r="A124" s="7"/>
      <c r="B124" s="130"/>
      <c r="C124" s="143">
        <f>C122+1</f>
        <v>9</v>
      </c>
      <c r="D124" s="143"/>
      <c r="E124" s="175"/>
      <c r="F124" s="270" t="s">
        <v>245</v>
      </c>
      <c r="G124" s="271"/>
      <c r="H124" s="271"/>
      <c r="I124" s="272"/>
      <c r="J124" s="176" t="s">
        <v>100</v>
      </c>
      <c r="K124" s="174">
        <v>1</v>
      </c>
      <c r="L124" s="294">
        <v>0</v>
      </c>
      <c r="M124" s="297"/>
      <c r="N124" s="273">
        <f>ROUND(K124*L124,2)</f>
        <v>0</v>
      </c>
      <c r="O124" s="274"/>
      <c r="P124" s="274"/>
      <c r="Q124" s="275"/>
      <c r="R124" s="133"/>
    </row>
    <row r="125" spans="2:18" ht="14.25" customHeight="1">
      <c r="B125" s="177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10"/>
    </row>
  </sheetData>
  <sheetProtection algorithmName="SHA-512" hashValue="j6c+20Kd8U3P7D9DZP0AIVZm9xCL7g2sUCqt7my0tmGu1kJs8RfRtTchQiDR8N4+WJ2ygKlOfpquy2vebE11AA==" saltValue="MlQcL5WEQIcRFcChwAkZCg==" spinCount="100000" sheet="1" objects="1" scenarios="1" selectLockedCells="1"/>
  <mergeCells count="88">
    <mergeCell ref="N123:Q123"/>
    <mergeCell ref="F124:I124"/>
    <mergeCell ref="L124:M124"/>
    <mergeCell ref="N124:Q124"/>
    <mergeCell ref="N116:Q116"/>
    <mergeCell ref="L117:M117"/>
    <mergeCell ref="F121:I121"/>
    <mergeCell ref="L121:M121"/>
    <mergeCell ref="N121:Q121"/>
    <mergeCell ref="F122:I122"/>
    <mergeCell ref="L122:M122"/>
    <mergeCell ref="N122:Q122"/>
    <mergeCell ref="F119:I119"/>
    <mergeCell ref="F117:I117"/>
    <mergeCell ref="N117:Q117"/>
    <mergeCell ref="N118:Q118"/>
    <mergeCell ref="N110:Q110"/>
    <mergeCell ref="N111:Q111"/>
    <mergeCell ref="L112:M112"/>
    <mergeCell ref="N112:Q112"/>
    <mergeCell ref="L113:M113"/>
    <mergeCell ref="N113:Q113"/>
    <mergeCell ref="L119:M119"/>
    <mergeCell ref="N119:Q119"/>
    <mergeCell ref="N120:Q120"/>
    <mergeCell ref="F115:I115"/>
    <mergeCell ref="F112:I112"/>
    <mergeCell ref="F113:I113"/>
    <mergeCell ref="F114:I114"/>
    <mergeCell ref="L114:M114"/>
    <mergeCell ref="N114:Q114"/>
    <mergeCell ref="L115:M115"/>
    <mergeCell ref="N115:Q115"/>
    <mergeCell ref="F101:P101"/>
    <mergeCell ref="M103:P103"/>
    <mergeCell ref="M105:Q105"/>
    <mergeCell ref="M106:Q106"/>
    <mergeCell ref="F108:I108"/>
    <mergeCell ref="L108:M108"/>
    <mergeCell ref="N108:Q108"/>
    <mergeCell ref="F100:P100"/>
    <mergeCell ref="M83:Q83"/>
    <mergeCell ref="M84:Q84"/>
    <mergeCell ref="C86:G86"/>
    <mergeCell ref="N86:Q86"/>
    <mergeCell ref="N88:Q88"/>
    <mergeCell ref="N89:Q89"/>
    <mergeCell ref="L91:Q91"/>
    <mergeCell ref="C97:Q97"/>
    <mergeCell ref="F99:P99"/>
    <mergeCell ref="M81:P81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F78:P78"/>
    <mergeCell ref="F79:P79"/>
    <mergeCell ref="M109:Q109"/>
    <mergeCell ref="H1:K1"/>
    <mergeCell ref="C2:Q2"/>
    <mergeCell ref="S2:AC2"/>
    <mergeCell ref="C4:Q4"/>
    <mergeCell ref="F6:P6"/>
    <mergeCell ref="O18:P18"/>
    <mergeCell ref="O19:P19"/>
    <mergeCell ref="O21:P21"/>
    <mergeCell ref="M25:P25"/>
    <mergeCell ref="M27:P27"/>
    <mergeCell ref="H29:J29"/>
    <mergeCell ref="M29:P29"/>
    <mergeCell ref="H30:J30"/>
    <mergeCell ref="M30:P30"/>
    <mergeCell ref="F81:K81"/>
    <mergeCell ref="F7:P7"/>
    <mergeCell ref="O22:P22"/>
    <mergeCell ref="F8:P8"/>
    <mergeCell ref="F10:L10"/>
    <mergeCell ref="O10:P10"/>
    <mergeCell ref="O12:P12"/>
    <mergeCell ref="O13:P13"/>
    <mergeCell ref="O15:P15"/>
    <mergeCell ref="E16:L16"/>
    <mergeCell ref="O16:P16"/>
  </mergeCells>
  <hyperlinks>
    <hyperlink ref="F1:G1" location="C2" tooltip="Krycí list rozpočtu" display="1) Krycí list rozpočtu"/>
    <hyperlink ref="H1:K1" location="'IO03'!C91" tooltip="Rekapitulace rozpočtu" display="2) Rekapitulace rozpočtu"/>
    <hyperlink ref="L1" location="'IO03'!C115" tooltip="Rozpočet" display="3) Rozpočet"/>
    <hyperlink ref="S1:T1" location="'Rekapitulace stavby'!C2" tooltip="Rekapitulace stavby" display="Rekapitulace stavby"/>
    <hyperlink ref="F1" location="'IO03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L140"/>
  <sheetViews>
    <sheetView showGridLines="0" zoomScaleSheetLayoutView="115" workbookViewId="0" topLeftCell="A1">
      <pane ySplit="1" topLeftCell="A2" activePane="bottomLeft" state="frozen"/>
      <selection pane="topLeft" activeCell="F151" sqref="F151:I151"/>
      <selection pane="bottomLeft" activeCell="L135" sqref="L135:M135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3" width="10.5" style="6" customWidth="1"/>
    <col min="44" max="63" width="10.5" style="6" hidden="1" customWidth="1"/>
    <col min="64" max="64" width="8" style="6" hidden="1" customWidth="1"/>
    <col min="65" max="65" width="10.5" style="6" customWidth="1"/>
    <col min="66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50" t="s">
        <v>107</v>
      </c>
      <c r="I1" s="250"/>
      <c r="J1" s="250"/>
      <c r="K1" s="250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46" ht="37.5" customHeight="1">
      <c r="C2" s="244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305" t="s">
        <v>3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6" t="s">
        <v>70</v>
      </c>
    </row>
    <row r="3" spans="2:46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6" t="s">
        <v>69</v>
      </c>
    </row>
    <row r="4" spans="2:46" ht="37.5" customHeight="1">
      <c r="B4" s="11"/>
      <c r="C4" s="231" t="s">
        <v>74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2"/>
      <c r="T4" s="13" t="s">
        <v>8</v>
      </c>
      <c r="AT4" s="6" t="s">
        <v>2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45" t="str">
        <f>Rekapitulace!$K$6</f>
        <v>Instalace nové fotovoltaické elektrárny s výkonem 4 257,54 kWp v areálu Potěhy společnosti ČEPRO, a.s.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R6" s="12"/>
    </row>
    <row r="7" spans="2:18" ht="24.95" customHeight="1">
      <c r="B7" s="11"/>
      <c r="D7" s="18" t="s">
        <v>75</v>
      </c>
      <c r="F7" s="245" t="str">
        <f>Rekapitulace!J94</f>
        <v>Vedlejší náklady, Ostatní náklady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R7" s="12"/>
    </row>
    <row r="8" spans="2:18" s="7" customFormat="1" ht="33.75" customHeight="1">
      <c r="B8" s="21"/>
      <c r="D8" s="17" t="s">
        <v>76</v>
      </c>
      <c r="F8" s="228" t="str">
        <f>Rekapitulace!J94</f>
        <v>Vedlejší náklady, Ostatní náklady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R8" s="22"/>
    </row>
    <row r="9" spans="2:18" s="7" customFormat="1" ht="15" customHeight="1">
      <c r="B9" s="21"/>
      <c r="D9" s="18" t="s">
        <v>13</v>
      </c>
      <c r="F9" s="212"/>
      <c r="G9" s="212"/>
      <c r="H9" s="212"/>
      <c r="I9" s="212"/>
      <c r="J9" s="212"/>
      <c r="K9" s="212"/>
      <c r="L9" s="212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Rekapitulace!K8</f>
        <v>Potěhy</v>
      </c>
      <c r="G10" s="212"/>
      <c r="H10" s="212"/>
      <c r="I10" s="212"/>
      <c r="J10" s="212"/>
      <c r="K10" s="212"/>
      <c r="L10" s="212"/>
      <c r="M10" s="18" t="s">
        <v>16</v>
      </c>
      <c r="O10" s="246">
        <f ca="1">Rekapitulace!$AN$8</f>
        <v>45268</v>
      </c>
      <c r="P10" s="242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1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1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1" t="str">
        <f>IF(Rekapitulace!$AN$13="","",Rekapitulace!$AN$13)</f>
        <v>Vyplň údaj</v>
      </c>
      <c r="P15" s="242"/>
      <c r="R15" s="22"/>
    </row>
    <row r="16" spans="2:18" s="7" customFormat="1" ht="18.75" customHeight="1">
      <c r="B16" s="21"/>
      <c r="E16" s="241" t="str">
        <f>IF(Rekapitulace!$E$14="","",Rekapitulace!$E$14)</f>
        <v>Vyplň údaj</v>
      </c>
      <c r="F16" s="242"/>
      <c r="G16" s="242"/>
      <c r="H16" s="242"/>
      <c r="I16" s="242"/>
      <c r="J16" s="242"/>
      <c r="K16" s="242"/>
      <c r="L16" s="242"/>
      <c r="M16" s="18" t="s">
        <v>19</v>
      </c>
      <c r="O16" s="241" t="str">
        <f>IF(Rekapitulace!$AN$14="","",Rekapitulace!$AN$14)</f>
        <v>Vyplň údaj</v>
      </c>
      <c r="P16" s="242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1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1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1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1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39">
        <f>$N$88</f>
        <v>0</v>
      </c>
      <c r="N25" s="211"/>
      <c r="O25" s="211"/>
      <c r="P25" s="211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3">
        <f>ROUND($M$25,2)</f>
        <v>0</v>
      </c>
      <c r="N27" s="211"/>
      <c r="O27" s="211"/>
      <c r="P27" s="211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0">
        <f>M27</f>
        <v>0</v>
      </c>
      <c r="I29" s="211"/>
      <c r="J29" s="211"/>
      <c r="M29" s="240">
        <f>H29*F29</f>
        <v>0</v>
      </c>
      <c r="N29" s="211"/>
      <c r="O29" s="211"/>
      <c r="P29" s="211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0">
        <v>0</v>
      </c>
      <c r="I30" s="211"/>
      <c r="J30" s="211"/>
      <c r="M30" s="240">
        <v>0</v>
      </c>
      <c r="N30" s="211"/>
      <c r="O30" s="211"/>
      <c r="P30" s="211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0">
        <f>(SUM($BG$91:$BG$91)+SUM($BG$109:$BG$127))</f>
        <v>0</v>
      </c>
      <c r="I31" s="211"/>
      <c r="J31" s="211"/>
      <c r="M31" s="240">
        <v>0</v>
      </c>
      <c r="N31" s="211"/>
      <c r="O31" s="211"/>
      <c r="P31" s="211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0">
        <f>(SUM($BH$91:$BH$91)+SUM($BH$109:$BH$127))</f>
        <v>0</v>
      </c>
      <c r="I32" s="211"/>
      <c r="J32" s="211"/>
      <c r="M32" s="240">
        <v>0</v>
      </c>
      <c r="N32" s="211"/>
      <c r="O32" s="211"/>
      <c r="P32" s="211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0">
        <f>(SUM($BI$91:$BI$91)+SUM($BI$109:$BI$127))</f>
        <v>0</v>
      </c>
      <c r="I33" s="211"/>
      <c r="J33" s="211"/>
      <c r="M33" s="240">
        <v>0</v>
      </c>
      <c r="N33" s="211"/>
      <c r="O33" s="211"/>
      <c r="P33" s="211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58">
        <f>ROUND(SUM($M$27:$M$33),2)</f>
        <v>0</v>
      </c>
      <c r="M35" s="198"/>
      <c r="N35" s="198"/>
      <c r="O35" s="198"/>
      <c r="P35" s="198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ht="14.25" customHeight="1">
      <c r="B49" s="11"/>
      <c r="R49" s="12"/>
    </row>
    <row r="50" spans="2:18" s="7" customFormat="1" ht="15.75" customHeight="1">
      <c r="B50" s="21"/>
      <c r="D50" s="33" t="s">
        <v>36</v>
      </c>
      <c r="E50" s="34"/>
      <c r="F50" s="34"/>
      <c r="G50" s="34"/>
      <c r="H50" s="35"/>
      <c r="J50" s="33" t="s">
        <v>37</v>
      </c>
      <c r="K50" s="34"/>
      <c r="L50" s="34"/>
      <c r="M50" s="34"/>
      <c r="N50" s="34"/>
      <c r="O50" s="34"/>
      <c r="P50" s="35"/>
      <c r="R50" s="2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ht="14.25" customHeight="1">
      <c r="B58" s="11"/>
      <c r="D58" s="36"/>
      <c r="H58" s="37"/>
      <c r="J58" s="36"/>
      <c r="P58" s="37"/>
      <c r="R58" s="12"/>
    </row>
    <row r="59" spans="2:18" s="7" customFormat="1" ht="15.75" customHeight="1">
      <c r="B59" s="21"/>
      <c r="D59" s="38" t="s">
        <v>38</v>
      </c>
      <c r="E59" s="39"/>
      <c r="F59" s="39"/>
      <c r="G59" s="40" t="s">
        <v>39</v>
      </c>
      <c r="H59" s="41"/>
      <c r="J59" s="38" t="s">
        <v>38</v>
      </c>
      <c r="K59" s="39"/>
      <c r="L59" s="39"/>
      <c r="M59" s="39"/>
      <c r="N59" s="40" t="s">
        <v>39</v>
      </c>
      <c r="O59" s="39"/>
      <c r="P59" s="41"/>
      <c r="R59" s="22"/>
    </row>
    <row r="60" spans="2:18" ht="14.25" customHeight="1">
      <c r="B60" s="11"/>
      <c r="R60" s="12"/>
    </row>
    <row r="61" spans="2:18" s="7" customFormat="1" ht="15.75" customHeight="1">
      <c r="B61" s="21"/>
      <c r="D61" s="33" t="s">
        <v>40</v>
      </c>
      <c r="E61" s="34"/>
      <c r="F61" s="34"/>
      <c r="G61" s="34"/>
      <c r="H61" s="35"/>
      <c r="J61" s="33" t="s">
        <v>41</v>
      </c>
      <c r="K61" s="34"/>
      <c r="L61" s="34"/>
      <c r="M61" s="34"/>
      <c r="N61" s="34"/>
      <c r="O61" s="34"/>
      <c r="P61" s="35"/>
      <c r="R61" s="2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ht="14.25" customHeight="1">
      <c r="B69" s="11"/>
      <c r="D69" s="36"/>
      <c r="H69" s="37"/>
      <c r="J69" s="36"/>
      <c r="P69" s="37"/>
      <c r="R69" s="12"/>
    </row>
    <row r="70" spans="2:18" s="7" customFormat="1" ht="15.75" customHeight="1">
      <c r="B70" s="21"/>
      <c r="D70" s="38" t="s">
        <v>38</v>
      </c>
      <c r="E70" s="39"/>
      <c r="F70" s="39"/>
      <c r="G70" s="40" t="s">
        <v>39</v>
      </c>
      <c r="H70" s="41"/>
      <c r="J70" s="38" t="s">
        <v>38</v>
      </c>
      <c r="K70" s="39"/>
      <c r="L70" s="39"/>
      <c r="M70" s="39"/>
      <c r="N70" s="40" t="s">
        <v>39</v>
      </c>
      <c r="O70" s="39"/>
      <c r="P70" s="41"/>
      <c r="R70" s="22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7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7" customFormat="1" ht="37.5" customHeight="1">
      <c r="B76" s="21"/>
      <c r="C76" s="231" t="s">
        <v>78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2"/>
    </row>
    <row r="77" spans="2:18" s="7" customFormat="1" ht="7.5" customHeight="1">
      <c r="B77" s="21"/>
      <c r="R77" s="22"/>
    </row>
    <row r="78" spans="2:18" s="7" customFormat="1" ht="24.95" customHeight="1">
      <c r="B78" s="21"/>
      <c r="C78" s="18" t="s">
        <v>12</v>
      </c>
      <c r="F78" s="245" t="str">
        <f>$F$6</f>
        <v>Instalace nové fotovoltaické elektrárny s výkonem 4 257,54 kWp v areálu Potěhy společnosti ČEPRO, a.s.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R78" s="22"/>
    </row>
    <row r="79" spans="2:18" s="7" customFormat="1" ht="37.5" customHeight="1">
      <c r="B79" s="21"/>
      <c r="C79" s="50" t="s">
        <v>75</v>
      </c>
      <c r="F79" s="210" t="str">
        <f>$F$8</f>
        <v>Vedlejší náklady, Ostatní náklady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R79" s="22"/>
    </row>
    <row r="80" spans="2:18" s="7" customFormat="1" ht="7.5" customHeight="1">
      <c r="B80" s="21"/>
      <c r="R80" s="22"/>
    </row>
    <row r="81" spans="2:18" s="7" customFormat="1" ht="30" customHeight="1">
      <c r="B81" s="21"/>
      <c r="C81" s="18" t="s">
        <v>15</v>
      </c>
      <c r="F81" s="257" t="str">
        <f>$F$10</f>
        <v>Potěhy</v>
      </c>
      <c r="G81" s="257"/>
      <c r="H81" s="257"/>
      <c r="I81" s="257"/>
      <c r="L81" s="18" t="s">
        <v>16</v>
      </c>
      <c r="M81" s="213">
        <f ca="1">IF($O$10="","",$O$10)</f>
        <v>45268</v>
      </c>
      <c r="N81" s="211"/>
      <c r="O81" s="211"/>
      <c r="P81" s="211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1"/>
      <c r="O83" s="211"/>
      <c r="P83" s="211"/>
      <c r="Q83" s="211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1"/>
      <c r="O84" s="211"/>
      <c r="P84" s="211"/>
      <c r="Q84" s="211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3" t="s">
        <v>79</v>
      </c>
      <c r="D86" s="198"/>
      <c r="E86" s="198"/>
      <c r="F86" s="198"/>
      <c r="G86" s="198"/>
      <c r="H86" s="29"/>
      <c r="I86" s="29"/>
      <c r="J86" s="29"/>
      <c r="K86" s="29"/>
      <c r="L86" s="29"/>
      <c r="M86" s="29"/>
      <c r="N86" s="249" t="s">
        <v>80</v>
      </c>
      <c r="O86" s="211"/>
      <c r="P86" s="211"/>
      <c r="Q86" s="211"/>
      <c r="R86" s="22"/>
    </row>
    <row r="87" spans="2:18" s="7" customFormat="1" ht="11.25" customHeight="1">
      <c r="B87" s="21"/>
      <c r="R87" s="22"/>
    </row>
    <row r="88" spans="2:47" s="7" customFormat="1" ht="30" customHeight="1">
      <c r="B88" s="21"/>
      <c r="C88" s="58" t="s">
        <v>81</v>
      </c>
      <c r="N88" s="206">
        <f>ROUND($N$89+N90,2)</f>
        <v>0</v>
      </c>
      <c r="O88" s="211"/>
      <c r="P88" s="211"/>
      <c r="Q88" s="211"/>
      <c r="R88" s="22"/>
      <c r="AU88" s="7" t="s">
        <v>82</v>
      </c>
    </row>
    <row r="89" spans="2:18" s="63" customFormat="1" ht="25.5" customHeight="1">
      <c r="B89" s="89"/>
      <c r="D89" s="101" t="s">
        <v>119</v>
      </c>
      <c r="N89" s="247">
        <f>ROUND($N$110,2)</f>
        <v>0</v>
      </c>
      <c r="O89" s="248"/>
      <c r="P89" s="248"/>
      <c r="Q89" s="248"/>
      <c r="R89" s="90"/>
    </row>
    <row r="90" spans="2:18" s="75" customFormat="1" ht="21" customHeight="1">
      <c r="B90" s="91"/>
      <c r="C90" s="63"/>
      <c r="D90" s="101" t="s">
        <v>126</v>
      </c>
      <c r="E90" s="63"/>
      <c r="F90" s="63"/>
      <c r="G90" s="63"/>
      <c r="H90" s="63"/>
      <c r="I90" s="63"/>
      <c r="J90" s="63"/>
      <c r="K90" s="63"/>
      <c r="L90" s="63"/>
      <c r="M90" s="63"/>
      <c r="N90" s="247">
        <f>ROUND($N$133,2)</f>
        <v>0</v>
      </c>
      <c r="O90" s="248"/>
      <c r="P90" s="248"/>
      <c r="Q90" s="248"/>
      <c r="R90" s="92"/>
    </row>
    <row r="91" spans="2:18" s="7" customFormat="1" ht="14.25" customHeight="1">
      <c r="B91" s="21"/>
      <c r="R91" s="22"/>
    </row>
    <row r="92" spans="2:18" s="7" customFormat="1" ht="30" customHeight="1">
      <c r="B92" s="21"/>
      <c r="C92" s="86" t="s">
        <v>115</v>
      </c>
      <c r="D92" s="29"/>
      <c r="E92" s="29"/>
      <c r="F92" s="29"/>
      <c r="G92" s="29"/>
      <c r="H92" s="29"/>
      <c r="I92" s="29"/>
      <c r="J92" s="29"/>
      <c r="K92" s="29"/>
      <c r="L92" s="197">
        <f>ROUND(SUM($N$88),2)</f>
        <v>0</v>
      </c>
      <c r="M92" s="198"/>
      <c r="N92" s="198"/>
      <c r="O92" s="198"/>
      <c r="P92" s="198"/>
      <c r="Q92" s="198"/>
      <c r="R92" s="22"/>
    </row>
    <row r="93" spans="2:18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7" spans="2:18" s="7" customFormat="1" ht="7.5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</row>
    <row r="98" spans="2:18" s="7" customFormat="1" ht="37.5" customHeight="1">
      <c r="B98" s="21"/>
      <c r="C98" s="231" t="s">
        <v>83</v>
      </c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2"/>
    </row>
    <row r="99" spans="2:18" s="7" customFormat="1" ht="7.5" customHeight="1">
      <c r="B99" s="21"/>
      <c r="R99" s="22"/>
    </row>
    <row r="100" spans="2:18" s="7" customFormat="1" ht="24.95" customHeight="1">
      <c r="B100" s="21"/>
      <c r="C100" s="18" t="s">
        <v>12</v>
      </c>
      <c r="F100" s="245" t="str">
        <f>$F$6</f>
        <v>Instalace nové fotovoltaické elektrárny s výkonem 4 257,54 kWp v areálu Potěhy společnosti ČEPRO, a.s.</v>
      </c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R100" s="22"/>
    </row>
    <row r="101" spans="2:18" s="7" customFormat="1" ht="37.5" customHeight="1">
      <c r="B101" s="21"/>
      <c r="C101" s="50" t="s">
        <v>75</v>
      </c>
      <c r="F101" s="210" t="str">
        <f>$F$8</f>
        <v>Vedlejší náklady, Ostatní náklady</v>
      </c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R101" s="22"/>
    </row>
    <row r="102" spans="2:18" s="7" customFormat="1" ht="7.5" customHeight="1">
      <c r="B102" s="21"/>
      <c r="R102" s="22"/>
    </row>
    <row r="103" spans="2:18" s="7" customFormat="1" ht="30" customHeight="1">
      <c r="B103" s="21"/>
      <c r="C103" s="18" t="s">
        <v>15</v>
      </c>
      <c r="F103" s="257" t="str">
        <f>$F$10</f>
        <v>Potěhy</v>
      </c>
      <c r="G103" s="257"/>
      <c r="H103" s="257"/>
      <c r="I103" s="257"/>
      <c r="L103" s="18" t="s">
        <v>16</v>
      </c>
      <c r="M103" s="213">
        <f ca="1">IF($O$10="","",$O$10)</f>
        <v>45268</v>
      </c>
      <c r="N103" s="211"/>
      <c r="O103" s="211"/>
      <c r="P103" s="211"/>
      <c r="R103" s="22"/>
    </row>
    <row r="104" spans="2:18" s="7" customFormat="1" ht="7.5" customHeight="1">
      <c r="B104" s="21"/>
      <c r="R104" s="22"/>
    </row>
    <row r="105" spans="2:18" s="7" customFormat="1" ht="15.75" customHeight="1">
      <c r="B105" s="21"/>
      <c r="C105" s="18" t="s">
        <v>17</v>
      </c>
      <c r="F105" s="16" t="str">
        <f>$E$13</f>
        <v>ČEPRO, a.s.</v>
      </c>
      <c r="L105" s="18" t="s">
        <v>22</v>
      </c>
      <c r="M105" s="212" t="str">
        <f>$E$19</f>
        <v>YOUNG4ENERGY s.r.o.</v>
      </c>
      <c r="N105" s="211"/>
      <c r="O105" s="211"/>
      <c r="P105" s="211"/>
      <c r="Q105" s="211"/>
      <c r="R105" s="22"/>
    </row>
    <row r="106" spans="2:18" s="7" customFormat="1" ht="15" customHeight="1">
      <c r="B106" s="21"/>
      <c r="C106" s="18" t="s">
        <v>20</v>
      </c>
      <c r="F106" s="16" t="str">
        <f>IF($E$16="","",$E$16)</f>
        <v>Vyplň údaj</v>
      </c>
      <c r="L106" s="18" t="s">
        <v>23</v>
      </c>
      <c r="M106" s="212" t="str">
        <f>$E$22</f>
        <v>YOUNG4ENERGY s.r.o.</v>
      </c>
      <c r="N106" s="211"/>
      <c r="O106" s="211"/>
      <c r="P106" s="211"/>
      <c r="Q106" s="211"/>
      <c r="R106" s="22"/>
    </row>
    <row r="107" spans="2:18" s="7" customFormat="1" ht="11.25" customHeight="1">
      <c r="B107" s="21"/>
      <c r="R107" s="22"/>
    </row>
    <row r="108" spans="2:27" s="96" customFormat="1" ht="30" customHeight="1">
      <c r="B108" s="93"/>
      <c r="C108" s="94" t="s">
        <v>84</v>
      </c>
      <c r="D108" s="165" t="s">
        <v>85</v>
      </c>
      <c r="E108" s="165" t="s">
        <v>44</v>
      </c>
      <c r="F108" s="267" t="s">
        <v>86</v>
      </c>
      <c r="G108" s="268"/>
      <c r="H108" s="268"/>
      <c r="I108" s="268"/>
      <c r="J108" s="165" t="s">
        <v>87</v>
      </c>
      <c r="K108" s="165" t="s">
        <v>88</v>
      </c>
      <c r="L108" s="267" t="s">
        <v>89</v>
      </c>
      <c r="M108" s="268"/>
      <c r="N108" s="267" t="s">
        <v>90</v>
      </c>
      <c r="O108" s="268"/>
      <c r="P108" s="268"/>
      <c r="Q108" s="269"/>
      <c r="R108" s="9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21"/>
      <c r="C109" s="58" t="s">
        <v>77</v>
      </c>
      <c r="N109" s="206">
        <f>N110+N133</f>
        <v>0</v>
      </c>
      <c r="O109" s="211"/>
      <c r="P109" s="211"/>
      <c r="Q109" s="211"/>
      <c r="R109" s="22"/>
      <c r="T109" s="57"/>
      <c r="U109" s="34"/>
      <c r="V109" s="34"/>
      <c r="W109" s="97" t="e">
        <f>$W$110+#REF!</f>
        <v>#REF!</v>
      </c>
      <c r="X109" s="34"/>
      <c r="Y109" s="97" t="e">
        <f>$Y$110+#REF!</f>
        <v>#REF!</v>
      </c>
      <c r="Z109" s="34"/>
      <c r="AA109" s="98" t="e">
        <f>$AA$110+#REF!</f>
        <v>#REF!</v>
      </c>
      <c r="AT109" s="7" t="s">
        <v>61</v>
      </c>
      <c r="AU109" s="7" t="s">
        <v>82</v>
      </c>
      <c r="BK109" s="99" t="e">
        <f>$BK$110+#REF!</f>
        <v>#REF!</v>
      </c>
    </row>
    <row r="110" spans="2:63" s="113" customFormat="1" ht="24.95" customHeight="1">
      <c r="B110" s="100"/>
      <c r="D110" s="101" t="s">
        <v>119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260">
        <f>N111</f>
        <v>0</v>
      </c>
      <c r="O110" s="261"/>
      <c r="P110" s="261"/>
      <c r="Q110" s="261"/>
      <c r="R110" s="102"/>
      <c r="T110" s="114"/>
      <c r="W110" s="115">
        <f>$W$111</f>
        <v>0</v>
      </c>
      <c r="Y110" s="115">
        <f>$Y$111</f>
        <v>0</v>
      </c>
      <c r="AA110" s="116">
        <f>$AA$111</f>
        <v>0</v>
      </c>
      <c r="AR110" s="164" t="s">
        <v>101</v>
      </c>
      <c r="AT110" s="164" t="s">
        <v>61</v>
      </c>
      <c r="AU110" s="164" t="s">
        <v>62</v>
      </c>
      <c r="AY110" s="164" t="s">
        <v>98</v>
      </c>
      <c r="BK110" s="117">
        <f>$BK$111</f>
        <v>0</v>
      </c>
    </row>
    <row r="111" spans="2:63" s="113" customFormat="1" ht="20.1" customHeight="1">
      <c r="B111" s="100"/>
      <c r="D111" s="112" t="s">
        <v>127</v>
      </c>
      <c r="E111" s="112"/>
      <c r="F111" s="112"/>
      <c r="G111" s="112"/>
      <c r="H111" s="112"/>
      <c r="I111" s="112"/>
      <c r="J111" s="112"/>
      <c r="K111" s="112"/>
      <c r="L111" s="112"/>
      <c r="M111" s="112"/>
      <c r="N111" s="262">
        <f>SUM(N112:Q132)</f>
        <v>0</v>
      </c>
      <c r="O111" s="261"/>
      <c r="P111" s="261"/>
      <c r="Q111" s="261"/>
      <c r="R111" s="102"/>
      <c r="T111" s="114"/>
      <c r="W111" s="115">
        <f>SUM($W$112:$W$127)</f>
        <v>0</v>
      </c>
      <c r="Y111" s="115">
        <f>SUM($Y$112:$Y$127)</f>
        <v>0</v>
      </c>
      <c r="AA111" s="116">
        <f>SUM($AA$112:$AA$127)</f>
        <v>0</v>
      </c>
      <c r="AR111" s="164" t="s">
        <v>101</v>
      </c>
      <c r="AT111" s="164" t="s">
        <v>61</v>
      </c>
      <c r="AU111" s="164" t="s">
        <v>67</v>
      </c>
      <c r="AY111" s="164" t="s">
        <v>98</v>
      </c>
      <c r="BK111" s="117">
        <f>SUM($BK$112:$BK$127)</f>
        <v>0</v>
      </c>
    </row>
    <row r="112" spans="2:64" s="7" customFormat="1" ht="20.1" customHeight="1">
      <c r="B112" s="21"/>
      <c r="C112" s="120">
        <v>1</v>
      </c>
      <c r="D112" s="120"/>
      <c r="E112" s="155"/>
      <c r="F112" s="264" t="s">
        <v>132</v>
      </c>
      <c r="G112" s="265"/>
      <c r="H112" s="265"/>
      <c r="I112" s="266"/>
      <c r="J112" s="158" t="s">
        <v>100</v>
      </c>
      <c r="K112" s="121">
        <v>1</v>
      </c>
      <c r="L112" s="255">
        <v>0</v>
      </c>
      <c r="M112" s="256">
        <v>175000</v>
      </c>
      <c r="N112" s="273">
        <f aca="true" t="shared" si="0" ref="N112:N129">ROUND(L112*K112,2)</f>
        <v>0</v>
      </c>
      <c r="O112" s="274"/>
      <c r="P112" s="274"/>
      <c r="Q112" s="275"/>
      <c r="R112" s="22"/>
      <c r="T112" s="103"/>
      <c r="U112" s="27" t="s">
        <v>27</v>
      </c>
      <c r="V112" s="119">
        <v>0</v>
      </c>
      <c r="W112" s="119">
        <f>$V$112*$K$112</f>
        <v>0</v>
      </c>
      <c r="X112" s="119">
        <v>0</v>
      </c>
      <c r="Y112" s="119">
        <f>$X$112*$K$112</f>
        <v>0</v>
      </c>
      <c r="Z112" s="119">
        <v>0</v>
      </c>
      <c r="AA112" s="104">
        <f>$Z$112*$K$112</f>
        <v>0</v>
      </c>
      <c r="AR112" s="7" t="s">
        <v>102</v>
      </c>
      <c r="AT112" s="7" t="s">
        <v>99</v>
      </c>
      <c r="AU112" s="7" t="s">
        <v>69</v>
      </c>
      <c r="AY112" s="7" t="s">
        <v>98</v>
      </c>
      <c r="BE112" s="80">
        <f>IF($U$112="základní",$N$112,0)</f>
        <v>0</v>
      </c>
      <c r="BF112" s="80">
        <f>IF($U$112="snížená",$N$112,0)</f>
        <v>0</v>
      </c>
      <c r="BG112" s="80">
        <f>IF($U$112="zákl. přenesená",$N$112,0)</f>
        <v>0</v>
      </c>
      <c r="BH112" s="80">
        <f>IF($U$112="sníž. přenesená",$N$112,0)</f>
        <v>0</v>
      </c>
      <c r="BI112" s="80">
        <f>IF($U$112="nulová",$N$112,0)</f>
        <v>0</v>
      </c>
      <c r="BJ112" s="7" t="s">
        <v>67</v>
      </c>
      <c r="BK112" s="80">
        <f>ROUND($L$112*$K$112,2)</f>
        <v>0</v>
      </c>
      <c r="BL112" s="7" t="s">
        <v>102</v>
      </c>
    </row>
    <row r="113" spans="2:64" s="7" customFormat="1" ht="30" customHeight="1">
      <c r="B113" s="21"/>
      <c r="C113" s="120">
        <f aca="true" t="shared" si="1" ref="C113:C124">C112+1</f>
        <v>2</v>
      </c>
      <c r="D113" s="120"/>
      <c r="E113" s="155"/>
      <c r="F113" s="270" t="s">
        <v>133</v>
      </c>
      <c r="G113" s="271"/>
      <c r="H113" s="271"/>
      <c r="I113" s="272"/>
      <c r="J113" s="158" t="s">
        <v>100</v>
      </c>
      <c r="K113" s="121">
        <v>1</v>
      </c>
      <c r="L113" s="253">
        <v>0</v>
      </c>
      <c r="M113" s="254">
        <v>150000</v>
      </c>
      <c r="N113" s="273">
        <f t="shared" si="0"/>
        <v>0</v>
      </c>
      <c r="O113" s="274"/>
      <c r="P113" s="274"/>
      <c r="Q113" s="275"/>
      <c r="R113" s="22"/>
      <c r="T113" s="103"/>
      <c r="U113" s="27" t="s">
        <v>27</v>
      </c>
      <c r="V113" s="119">
        <v>0</v>
      </c>
      <c r="W113" s="119">
        <f>$V$113*$K$113</f>
        <v>0</v>
      </c>
      <c r="X113" s="119">
        <v>0</v>
      </c>
      <c r="Y113" s="119">
        <f>$X$113*$K$113</f>
        <v>0</v>
      </c>
      <c r="Z113" s="119">
        <v>0</v>
      </c>
      <c r="AA113" s="104">
        <f>$Z$113*$K$113</f>
        <v>0</v>
      </c>
      <c r="AR113" s="7" t="s">
        <v>102</v>
      </c>
      <c r="AT113" s="7" t="s">
        <v>99</v>
      </c>
      <c r="AU113" s="7" t="s">
        <v>69</v>
      </c>
      <c r="AY113" s="7" t="s">
        <v>98</v>
      </c>
      <c r="BE113" s="80">
        <f>IF($U$113="základní",$N$113,0)</f>
        <v>0</v>
      </c>
      <c r="BF113" s="80">
        <f>IF($U$113="snížená",$N$113,0)</f>
        <v>0</v>
      </c>
      <c r="BG113" s="80">
        <f>IF($U$113="zákl. přenesená",$N$113,0)</f>
        <v>0</v>
      </c>
      <c r="BH113" s="80">
        <f>IF($U$113="sníž. přenesená",$N$113,0)</f>
        <v>0</v>
      </c>
      <c r="BI113" s="80">
        <f>IF($U$113="nulová",$N$113,0)</f>
        <v>0</v>
      </c>
      <c r="BJ113" s="7" t="s">
        <v>67</v>
      </c>
      <c r="BK113" s="80">
        <f>ROUND($L$113*$K$113,2)</f>
        <v>0</v>
      </c>
      <c r="BL113" s="7" t="s">
        <v>102</v>
      </c>
    </row>
    <row r="114" spans="2:64" s="7" customFormat="1" ht="45" customHeight="1">
      <c r="B114" s="21"/>
      <c r="C114" s="120">
        <f t="shared" si="1"/>
        <v>3</v>
      </c>
      <c r="D114" s="120"/>
      <c r="E114" s="155"/>
      <c r="F114" s="270" t="s">
        <v>129</v>
      </c>
      <c r="G114" s="271"/>
      <c r="H114" s="271"/>
      <c r="I114" s="272"/>
      <c r="J114" s="158" t="s">
        <v>100</v>
      </c>
      <c r="K114" s="121">
        <v>1</v>
      </c>
      <c r="L114" s="253">
        <v>0</v>
      </c>
      <c r="M114" s="254">
        <v>125000</v>
      </c>
      <c r="N114" s="273">
        <f t="shared" si="0"/>
        <v>0</v>
      </c>
      <c r="O114" s="274"/>
      <c r="P114" s="274"/>
      <c r="Q114" s="275"/>
      <c r="R114" s="22"/>
      <c r="T114" s="103"/>
      <c r="U114" s="27" t="s">
        <v>27</v>
      </c>
      <c r="V114" s="119">
        <v>0</v>
      </c>
      <c r="W114" s="119">
        <f>$V$114*$K$114</f>
        <v>0</v>
      </c>
      <c r="X114" s="119">
        <v>0</v>
      </c>
      <c r="Y114" s="119">
        <f>$X$114*$K$114</f>
        <v>0</v>
      </c>
      <c r="Z114" s="119">
        <v>0</v>
      </c>
      <c r="AA114" s="104">
        <f>$Z$114*$K$114</f>
        <v>0</v>
      </c>
      <c r="AR114" s="7" t="s">
        <v>102</v>
      </c>
      <c r="AT114" s="7" t="s">
        <v>99</v>
      </c>
      <c r="AU114" s="7" t="s">
        <v>69</v>
      </c>
      <c r="AY114" s="7" t="s">
        <v>98</v>
      </c>
      <c r="BE114" s="80">
        <f>IF($U$114="základní",$N$114,0)</f>
        <v>0</v>
      </c>
      <c r="BF114" s="80">
        <f>IF($U$114="snížená",$N$114,0)</f>
        <v>0</v>
      </c>
      <c r="BG114" s="80">
        <f>IF($U$114="zákl. přenesená",$N$114,0)</f>
        <v>0</v>
      </c>
      <c r="BH114" s="80">
        <f>IF($U$114="sníž. přenesená",$N$114,0)</f>
        <v>0</v>
      </c>
      <c r="BI114" s="80">
        <f>IF($U$114="nulová",$N$114,0)</f>
        <v>0</v>
      </c>
      <c r="BJ114" s="7" t="s">
        <v>67</v>
      </c>
      <c r="BK114" s="80">
        <f>ROUND($L$114*$K$114,2)</f>
        <v>0</v>
      </c>
      <c r="BL114" s="7" t="s">
        <v>102</v>
      </c>
    </row>
    <row r="115" spans="2:64" s="7" customFormat="1" ht="45" customHeight="1">
      <c r="B115" s="21"/>
      <c r="C115" s="120">
        <f t="shared" si="1"/>
        <v>4</v>
      </c>
      <c r="D115" s="120"/>
      <c r="E115" s="155"/>
      <c r="F115" s="270" t="s">
        <v>120</v>
      </c>
      <c r="G115" s="271"/>
      <c r="H115" s="271"/>
      <c r="I115" s="272"/>
      <c r="J115" s="158" t="s">
        <v>100</v>
      </c>
      <c r="K115" s="121">
        <v>1</v>
      </c>
      <c r="L115" s="253">
        <v>0</v>
      </c>
      <c r="M115" s="254">
        <v>125000</v>
      </c>
      <c r="N115" s="273">
        <f t="shared" si="0"/>
        <v>0</v>
      </c>
      <c r="O115" s="274"/>
      <c r="P115" s="274"/>
      <c r="Q115" s="275"/>
      <c r="R115" s="22"/>
      <c r="T115" s="103"/>
      <c r="U115" s="27" t="s">
        <v>27</v>
      </c>
      <c r="V115" s="119">
        <v>0</v>
      </c>
      <c r="W115" s="119">
        <f>$V$115*$K$115</f>
        <v>0</v>
      </c>
      <c r="X115" s="119">
        <v>0</v>
      </c>
      <c r="Y115" s="119">
        <f>$X$115*$K$115</f>
        <v>0</v>
      </c>
      <c r="Z115" s="119">
        <v>0</v>
      </c>
      <c r="AA115" s="104">
        <f>$Z$115*$K$115</f>
        <v>0</v>
      </c>
      <c r="AR115" s="7" t="s">
        <v>102</v>
      </c>
      <c r="AT115" s="7" t="s">
        <v>99</v>
      </c>
      <c r="AU115" s="7" t="s">
        <v>69</v>
      </c>
      <c r="AY115" s="7" t="s">
        <v>98</v>
      </c>
      <c r="BE115" s="80">
        <f>IF($U$115="základní",$N$115,0)</f>
        <v>0</v>
      </c>
      <c r="BF115" s="80">
        <f>IF($U$115="snížená",$N$115,0)</f>
        <v>0</v>
      </c>
      <c r="BG115" s="80">
        <f>IF($U$115="zákl. přenesená",$N$115,0)</f>
        <v>0</v>
      </c>
      <c r="BH115" s="80">
        <f>IF($U$115="sníž. přenesená",$N$115,0)</f>
        <v>0</v>
      </c>
      <c r="BI115" s="80">
        <f>IF($U$115="nulová",$N$115,0)</f>
        <v>0</v>
      </c>
      <c r="BJ115" s="7" t="s">
        <v>67</v>
      </c>
      <c r="BK115" s="80">
        <f>ROUND($L$115*$K$115,2)</f>
        <v>0</v>
      </c>
      <c r="BL115" s="7" t="s">
        <v>102</v>
      </c>
    </row>
    <row r="116" spans="2:63" s="7" customFormat="1" ht="75" customHeight="1">
      <c r="B116" s="21"/>
      <c r="C116" s="120">
        <f t="shared" si="1"/>
        <v>5</v>
      </c>
      <c r="D116" s="120"/>
      <c r="E116" s="155"/>
      <c r="F116" s="270" t="s">
        <v>121</v>
      </c>
      <c r="G116" s="271"/>
      <c r="H116" s="271"/>
      <c r="I116" s="272"/>
      <c r="J116" s="158" t="s">
        <v>100</v>
      </c>
      <c r="K116" s="121">
        <v>1</v>
      </c>
      <c r="L116" s="253">
        <v>0</v>
      </c>
      <c r="M116" s="254">
        <v>175000</v>
      </c>
      <c r="N116" s="273">
        <f t="shared" si="0"/>
        <v>0</v>
      </c>
      <c r="O116" s="274"/>
      <c r="P116" s="274"/>
      <c r="Q116" s="275"/>
      <c r="R116" s="22"/>
      <c r="T116" s="103"/>
      <c r="U116" s="27"/>
      <c r="V116" s="119"/>
      <c r="W116" s="119"/>
      <c r="X116" s="119"/>
      <c r="Y116" s="119"/>
      <c r="Z116" s="119"/>
      <c r="AA116" s="104"/>
      <c r="BE116" s="80"/>
      <c r="BF116" s="80"/>
      <c r="BG116" s="80"/>
      <c r="BH116" s="80"/>
      <c r="BI116" s="80"/>
      <c r="BK116" s="80"/>
    </row>
    <row r="117" spans="2:64" s="7" customFormat="1" ht="19.9" customHeight="1">
      <c r="B117" s="21"/>
      <c r="C117" s="120">
        <f t="shared" si="1"/>
        <v>6</v>
      </c>
      <c r="D117" s="120"/>
      <c r="E117" s="155"/>
      <c r="F117" s="270" t="s">
        <v>134</v>
      </c>
      <c r="G117" s="271"/>
      <c r="H117" s="271"/>
      <c r="I117" s="272"/>
      <c r="J117" s="158" t="s">
        <v>100</v>
      </c>
      <c r="K117" s="121">
        <v>1</v>
      </c>
      <c r="L117" s="253">
        <v>0</v>
      </c>
      <c r="M117" s="254">
        <v>625000</v>
      </c>
      <c r="N117" s="273">
        <f t="shared" si="0"/>
        <v>0</v>
      </c>
      <c r="O117" s="274"/>
      <c r="P117" s="274"/>
      <c r="Q117" s="275"/>
      <c r="R117" s="22"/>
      <c r="T117" s="103"/>
      <c r="U117" s="27" t="s">
        <v>27</v>
      </c>
      <c r="V117" s="119">
        <v>0</v>
      </c>
      <c r="W117" s="119">
        <f>$V$117*$K$117</f>
        <v>0</v>
      </c>
      <c r="X117" s="119">
        <v>0</v>
      </c>
      <c r="Y117" s="119">
        <f>$X$117*$K$117</f>
        <v>0</v>
      </c>
      <c r="Z117" s="119">
        <v>0</v>
      </c>
      <c r="AA117" s="104">
        <f>$Z$117*$K$117</f>
        <v>0</v>
      </c>
      <c r="AR117" s="7" t="s">
        <v>102</v>
      </c>
      <c r="AT117" s="7" t="s">
        <v>99</v>
      </c>
      <c r="AU117" s="7" t="s">
        <v>69</v>
      </c>
      <c r="AY117" s="7" t="s">
        <v>98</v>
      </c>
      <c r="BE117" s="80">
        <f>IF($U$117="základní",$N$117,0)</f>
        <v>0</v>
      </c>
      <c r="BF117" s="80">
        <f>IF($U$117="snížená",$N$117,0)</f>
        <v>0</v>
      </c>
      <c r="BG117" s="80">
        <f>IF($U$117="zákl. přenesená",$N$117,0)</f>
        <v>0</v>
      </c>
      <c r="BH117" s="80">
        <f>IF($U$117="sníž. přenesená",$N$117,0)</f>
        <v>0</v>
      </c>
      <c r="BI117" s="80">
        <f>IF($U$117="nulová",$N$117,0)</f>
        <v>0</v>
      </c>
      <c r="BJ117" s="7" t="s">
        <v>67</v>
      </c>
      <c r="BK117" s="80">
        <f>ROUND($L$117*$K$117,2)</f>
        <v>0</v>
      </c>
      <c r="BL117" s="7" t="s">
        <v>102</v>
      </c>
    </row>
    <row r="118" spans="2:64" s="7" customFormat="1" ht="20.1" customHeight="1">
      <c r="B118" s="21"/>
      <c r="C118" s="120">
        <f t="shared" si="1"/>
        <v>7</v>
      </c>
      <c r="D118" s="120"/>
      <c r="E118" s="155"/>
      <c r="F118" s="270" t="s">
        <v>122</v>
      </c>
      <c r="G118" s="271"/>
      <c r="H118" s="271"/>
      <c r="I118" s="272"/>
      <c r="J118" s="158" t="s">
        <v>100</v>
      </c>
      <c r="K118" s="121">
        <v>1</v>
      </c>
      <c r="L118" s="253">
        <v>0</v>
      </c>
      <c r="M118" s="254">
        <v>150000</v>
      </c>
      <c r="N118" s="273">
        <f t="shared" si="0"/>
        <v>0</v>
      </c>
      <c r="O118" s="274"/>
      <c r="P118" s="274"/>
      <c r="Q118" s="275"/>
      <c r="R118" s="22"/>
      <c r="T118" s="103"/>
      <c r="U118" s="27" t="s">
        <v>27</v>
      </c>
      <c r="V118" s="119">
        <v>0</v>
      </c>
      <c r="W118" s="119">
        <f>$V$118*$K$118</f>
        <v>0</v>
      </c>
      <c r="X118" s="119">
        <v>0</v>
      </c>
      <c r="Y118" s="119">
        <f>$X$118*$K$118</f>
        <v>0</v>
      </c>
      <c r="Z118" s="119">
        <v>0</v>
      </c>
      <c r="AA118" s="104">
        <f>$Z$118*$K$118</f>
        <v>0</v>
      </c>
      <c r="AR118" s="7" t="s">
        <v>102</v>
      </c>
      <c r="AT118" s="7" t="s">
        <v>99</v>
      </c>
      <c r="AU118" s="7" t="s">
        <v>69</v>
      </c>
      <c r="AY118" s="7" t="s">
        <v>98</v>
      </c>
      <c r="BE118" s="80">
        <f>IF($U$118="základní",$N$118,0)</f>
        <v>0</v>
      </c>
      <c r="BF118" s="80">
        <f>IF($U$118="snížená",$N$118,0)</f>
        <v>0</v>
      </c>
      <c r="BG118" s="80">
        <f>IF($U$118="zákl. přenesená",$N$118,0)</f>
        <v>0</v>
      </c>
      <c r="BH118" s="80">
        <f>IF($U$118="sníž. přenesená",$N$118,0)</f>
        <v>0</v>
      </c>
      <c r="BI118" s="80">
        <f>IF($U$118="nulová",$N$118,0)</f>
        <v>0</v>
      </c>
      <c r="BJ118" s="7" t="s">
        <v>67</v>
      </c>
      <c r="BK118" s="80">
        <f>ROUND($L$118*$K$118,2)</f>
        <v>0</v>
      </c>
      <c r="BL118" s="7" t="s">
        <v>102</v>
      </c>
    </row>
    <row r="119" spans="2:64" s="7" customFormat="1" ht="30" customHeight="1">
      <c r="B119" s="21"/>
      <c r="C119" s="120">
        <f t="shared" si="1"/>
        <v>8</v>
      </c>
      <c r="D119" s="120"/>
      <c r="E119" s="155"/>
      <c r="F119" s="270" t="s">
        <v>123</v>
      </c>
      <c r="G119" s="271"/>
      <c r="H119" s="271"/>
      <c r="I119" s="272"/>
      <c r="J119" s="158" t="s">
        <v>100</v>
      </c>
      <c r="K119" s="121">
        <v>1</v>
      </c>
      <c r="L119" s="253">
        <v>0</v>
      </c>
      <c r="M119" s="254">
        <v>175000</v>
      </c>
      <c r="N119" s="273">
        <f t="shared" si="0"/>
        <v>0</v>
      </c>
      <c r="O119" s="274"/>
      <c r="P119" s="274"/>
      <c r="Q119" s="275"/>
      <c r="R119" s="22"/>
      <c r="T119" s="103"/>
      <c r="U119" s="27" t="s">
        <v>27</v>
      </c>
      <c r="V119" s="119">
        <v>0</v>
      </c>
      <c r="W119" s="119">
        <f>$V$119*$K$119</f>
        <v>0</v>
      </c>
      <c r="X119" s="119">
        <v>0</v>
      </c>
      <c r="Y119" s="119">
        <f>$X$119*$K$119</f>
        <v>0</v>
      </c>
      <c r="Z119" s="119">
        <v>0</v>
      </c>
      <c r="AA119" s="104">
        <f>$Z$119*$K$119</f>
        <v>0</v>
      </c>
      <c r="AR119" s="7" t="s">
        <v>102</v>
      </c>
      <c r="AT119" s="7" t="s">
        <v>99</v>
      </c>
      <c r="AU119" s="7" t="s">
        <v>69</v>
      </c>
      <c r="AY119" s="7" t="s">
        <v>98</v>
      </c>
      <c r="BE119" s="80">
        <f>IF($U$119="základní",$N$119,0)</f>
        <v>0</v>
      </c>
      <c r="BF119" s="80">
        <f>IF($U$119="snížená",$N$119,0)</f>
        <v>0</v>
      </c>
      <c r="BG119" s="80">
        <f>IF($U$119="zákl. přenesená",$N$119,0)</f>
        <v>0</v>
      </c>
      <c r="BH119" s="80">
        <f>IF($U$119="sníž. přenesená",$N$119,0)</f>
        <v>0</v>
      </c>
      <c r="BI119" s="80">
        <f>IF($U$119="nulová",$N$119,0)</f>
        <v>0</v>
      </c>
      <c r="BJ119" s="7" t="s">
        <v>67</v>
      </c>
      <c r="BK119" s="80">
        <f>ROUND($L$119*$K$119,2)</f>
        <v>0</v>
      </c>
      <c r="BL119" s="7" t="s">
        <v>102</v>
      </c>
    </row>
    <row r="120" spans="2:63" s="7" customFormat="1" ht="67.5" customHeight="1">
      <c r="B120" s="21"/>
      <c r="C120" s="120">
        <f t="shared" si="1"/>
        <v>9</v>
      </c>
      <c r="D120" s="120"/>
      <c r="E120" s="155"/>
      <c r="F120" s="270" t="s">
        <v>151</v>
      </c>
      <c r="G120" s="271"/>
      <c r="H120" s="271"/>
      <c r="I120" s="272"/>
      <c r="J120" s="158" t="s">
        <v>100</v>
      </c>
      <c r="K120" s="121">
        <v>1</v>
      </c>
      <c r="L120" s="306">
        <v>0</v>
      </c>
      <c r="M120" s="254">
        <v>250000</v>
      </c>
      <c r="N120" s="273">
        <f t="shared" si="0"/>
        <v>0</v>
      </c>
      <c r="O120" s="274"/>
      <c r="P120" s="274"/>
      <c r="Q120" s="275"/>
      <c r="R120" s="22"/>
      <c r="T120" s="103"/>
      <c r="U120" s="27"/>
      <c r="V120" s="119"/>
      <c r="W120" s="119"/>
      <c r="X120" s="119"/>
      <c r="Y120" s="119"/>
      <c r="Z120" s="119"/>
      <c r="AA120" s="104"/>
      <c r="BE120" s="80"/>
      <c r="BF120" s="80"/>
      <c r="BG120" s="80"/>
      <c r="BH120" s="80"/>
      <c r="BI120" s="80"/>
      <c r="BK120" s="80"/>
    </row>
    <row r="121" spans="2:63" s="7" customFormat="1" ht="135" customHeight="1">
      <c r="B121" s="21"/>
      <c r="C121" s="120">
        <f t="shared" si="1"/>
        <v>10</v>
      </c>
      <c r="D121" s="120"/>
      <c r="E121" s="155"/>
      <c r="F121" s="270" t="s">
        <v>152</v>
      </c>
      <c r="G121" s="271"/>
      <c r="H121" s="271"/>
      <c r="I121" s="272"/>
      <c r="J121" s="158" t="s">
        <v>100</v>
      </c>
      <c r="K121" s="121">
        <v>1</v>
      </c>
      <c r="L121" s="253">
        <v>0</v>
      </c>
      <c r="M121" s="254">
        <v>375000</v>
      </c>
      <c r="N121" s="273">
        <f t="shared" si="0"/>
        <v>0</v>
      </c>
      <c r="O121" s="274"/>
      <c r="P121" s="274"/>
      <c r="Q121" s="275"/>
      <c r="R121" s="22"/>
      <c r="T121" s="103"/>
      <c r="U121" s="27"/>
      <c r="V121" s="119"/>
      <c r="W121" s="119"/>
      <c r="X121" s="119"/>
      <c r="Y121" s="119"/>
      <c r="Z121" s="119"/>
      <c r="AA121" s="104"/>
      <c r="BE121" s="80"/>
      <c r="BF121" s="80"/>
      <c r="BG121" s="80"/>
      <c r="BH121" s="80"/>
      <c r="BI121" s="80"/>
      <c r="BK121" s="80"/>
    </row>
    <row r="122" spans="2:63" s="7" customFormat="1" ht="43.5" customHeight="1">
      <c r="B122" s="21"/>
      <c r="C122" s="120">
        <f t="shared" si="1"/>
        <v>11</v>
      </c>
      <c r="D122" s="120"/>
      <c r="E122" s="155"/>
      <c r="F122" s="270" t="s">
        <v>147</v>
      </c>
      <c r="G122" s="271"/>
      <c r="H122" s="271"/>
      <c r="I122" s="272"/>
      <c r="J122" s="158" t="s">
        <v>100</v>
      </c>
      <c r="K122" s="121">
        <v>1</v>
      </c>
      <c r="L122" s="253">
        <v>0</v>
      </c>
      <c r="M122" s="254">
        <v>250000</v>
      </c>
      <c r="N122" s="273">
        <f t="shared" si="0"/>
        <v>0</v>
      </c>
      <c r="O122" s="274"/>
      <c r="P122" s="274"/>
      <c r="Q122" s="275"/>
      <c r="R122" s="22"/>
      <c r="T122" s="103"/>
      <c r="U122" s="27"/>
      <c r="V122" s="119"/>
      <c r="W122" s="119"/>
      <c r="X122" s="119"/>
      <c r="Y122" s="119"/>
      <c r="Z122" s="119"/>
      <c r="AA122" s="104"/>
      <c r="BE122" s="80"/>
      <c r="BF122" s="80"/>
      <c r="BG122" s="80"/>
      <c r="BH122" s="80"/>
      <c r="BI122" s="80"/>
      <c r="BK122" s="80"/>
    </row>
    <row r="123" spans="2:63" s="7" customFormat="1" ht="175.5" customHeight="1">
      <c r="B123" s="21"/>
      <c r="C123" s="120">
        <f t="shared" si="1"/>
        <v>12</v>
      </c>
      <c r="D123" s="120"/>
      <c r="E123" s="155"/>
      <c r="F123" s="270" t="s">
        <v>148</v>
      </c>
      <c r="G123" s="271"/>
      <c r="H123" s="271"/>
      <c r="I123" s="272"/>
      <c r="J123" s="158" t="s">
        <v>100</v>
      </c>
      <c r="K123" s="121">
        <v>1</v>
      </c>
      <c r="L123" s="253">
        <v>0</v>
      </c>
      <c r="M123" s="254">
        <v>375000</v>
      </c>
      <c r="N123" s="273">
        <f t="shared" si="0"/>
        <v>0</v>
      </c>
      <c r="O123" s="274"/>
      <c r="P123" s="274"/>
      <c r="Q123" s="275"/>
      <c r="R123" s="22"/>
      <c r="T123" s="103"/>
      <c r="U123" s="27"/>
      <c r="V123" s="119"/>
      <c r="W123" s="119"/>
      <c r="X123" s="119"/>
      <c r="Y123" s="119"/>
      <c r="Z123" s="119"/>
      <c r="AA123" s="104"/>
      <c r="BE123" s="80"/>
      <c r="BF123" s="80"/>
      <c r="BG123" s="80"/>
      <c r="BH123" s="80"/>
      <c r="BI123" s="80"/>
      <c r="BK123" s="80"/>
    </row>
    <row r="124" spans="2:63" s="7" customFormat="1" ht="20.1" customHeight="1">
      <c r="B124" s="21"/>
      <c r="C124" s="120">
        <f t="shared" si="1"/>
        <v>13</v>
      </c>
      <c r="D124" s="120"/>
      <c r="E124" s="155"/>
      <c r="F124" s="270" t="s">
        <v>130</v>
      </c>
      <c r="G124" s="271"/>
      <c r="H124" s="271"/>
      <c r="I124" s="272"/>
      <c r="J124" s="158" t="s">
        <v>100</v>
      </c>
      <c r="K124" s="121">
        <v>1</v>
      </c>
      <c r="L124" s="253">
        <v>0</v>
      </c>
      <c r="M124" s="254">
        <v>250000</v>
      </c>
      <c r="N124" s="273">
        <f t="shared" si="0"/>
        <v>0</v>
      </c>
      <c r="O124" s="274"/>
      <c r="P124" s="274"/>
      <c r="Q124" s="275"/>
      <c r="R124" s="22"/>
      <c r="T124" s="103"/>
      <c r="U124" s="27"/>
      <c r="V124" s="119"/>
      <c r="W124" s="119"/>
      <c r="X124" s="119"/>
      <c r="Y124" s="119"/>
      <c r="Z124" s="119"/>
      <c r="AA124" s="104"/>
      <c r="BE124" s="80"/>
      <c r="BF124" s="80"/>
      <c r="BG124" s="80"/>
      <c r="BH124" s="80"/>
      <c r="BI124" s="80"/>
      <c r="BK124" s="80"/>
    </row>
    <row r="125" spans="2:64" s="7" customFormat="1" ht="20.1" customHeight="1">
      <c r="B125" s="21"/>
      <c r="C125" s="120">
        <f>C124+1</f>
        <v>14</v>
      </c>
      <c r="D125" s="120"/>
      <c r="E125" s="155"/>
      <c r="F125" s="270" t="s">
        <v>124</v>
      </c>
      <c r="G125" s="271"/>
      <c r="H125" s="271"/>
      <c r="I125" s="272"/>
      <c r="J125" s="158" t="s">
        <v>100</v>
      </c>
      <c r="K125" s="121">
        <v>1</v>
      </c>
      <c r="L125" s="253">
        <v>0</v>
      </c>
      <c r="M125" s="254">
        <v>100000</v>
      </c>
      <c r="N125" s="273">
        <f t="shared" si="0"/>
        <v>0</v>
      </c>
      <c r="O125" s="274"/>
      <c r="P125" s="274"/>
      <c r="Q125" s="275"/>
      <c r="R125" s="22"/>
      <c r="T125" s="103"/>
      <c r="U125" s="27" t="s">
        <v>27</v>
      </c>
      <c r="V125" s="119">
        <v>0</v>
      </c>
      <c r="W125" s="119">
        <f>$V$125*$K$125</f>
        <v>0</v>
      </c>
      <c r="X125" s="119">
        <v>0</v>
      </c>
      <c r="Y125" s="119">
        <f>$X$125*$K$125</f>
        <v>0</v>
      </c>
      <c r="Z125" s="119">
        <v>0</v>
      </c>
      <c r="AA125" s="104">
        <f>$Z$125*$K$125</f>
        <v>0</v>
      </c>
      <c r="AR125" s="7" t="s">
        <v>102</v>
      </c>
      <c r="AT125" s="7" t="s">
        <v>99</v>
      </c>
      <c r="AU125" s="7" t="s">
        <v>69</v>
      </c>
      <c r="AY125" s="7" t="s">
        <v>98</v>
      </c>
      <c r="BE125" s="80">
        <f>IF($U$125="základní",$N$125,0)</f>
        <v>0</v>
      </c>
      <c r="BF125" s="80">
        <f>IF($U$125="snížená",$N$125,0)</f>
        <v>0</v>
      </c>
      <c r="BG125" s="80">
        <f>IF($U$125="zákl. přenesená",$N$125,0)</f>
        <v>0</v>
      </c>
      <c r="BH125" s="80">
        <f>IF($U$125="sníž. přenesená",$N$125,0)</f>
        <v>0</v>
      </c>
      <c r="BI125" s="80">
        <f>IF($U$125="nulová",$N$125,0)</f>
        <v>0</v>
      </c>
      <c r="BJ125" s="7" t="s">
        <v>67</v>
      </c>
      <c r="BK125" s="80">
        <f>ROUND($L$125*$K$125,2)</f>
        <v>0</v>
      </c>
      <c r="BL125" s="7" t="s">
        <v>102</v>
      </c>
    </row>
    <row r="126" spans="2:63" s="7" customFormat="1" ht="45" customHeight="1">
      <c r="B126" s="21"/>
      <c r="C126" s="120">
        <f aca="true" t="shared" si="2" ref="C126:C132">C125+1</f>
        <v>15</v>
      </c>
      <c r="D126" s="120"/>
      <c r="E126" s="155"/>
      <c r="F126" s="270" t="s">
        <v>131</v>
      </c>
      <c r="G126" s="271"/>
      <c r="H126" s="271"/>
      <c r="I126" s="272"/>
      <c r="J126" s="158" t="s">
        <v>100</v>
      </c>
      <c r="K126" s="121">
        <v>1</v>
      </c>
      <c r="L126" s="253">
        <v>0</v>
      </c>
      <c r="M126" s="254">
        <v>175000</v>
      </c>
      <c r="N126" s="273">
        <f t="shared" si="0"/>
        <v>0</v>
      </c>
      <c r="O126" s="274"/>
      <c r="P126" s="274"/>
      <c r="Q126" s="275"/>
      <c r="R126" s="22"/>
      <c r="T126" s="103"/>
      <c r="U126" s="27"/>
      <c r="V126" s="119"/>
      <c r="W126" s="119"/>
      <c r="X126" s="119"/>
      <c r="Y126" s="119"/>
      <c r="Z126" s="119"/>
      <c r="AA126" s="104"/>
      <c r="BE126" s="80"/>
      <c r="BF126" s="80"/>
      <c r="BG126" s="80"/>
      <c r="BH126" s="80"/>
      <c r="BI126" s="80"/>
      <c r="BK126" s="80"/>
    </row>
    <row r="127" spans="2:64" s="7" customFormat="1" ht="20.1" customHeight="1">
      <c r="B127" s="21"/>
      <c r="C127" s="120">
        <f t="shared" si="2"/>
        <v>16</v>
      </c>
      <c r="D127" s="120"/>
      <c r="E127" s="155"/>
      <c r="F127" s="270" t="s">
        <v>125</v>
      </c>
      <c r="G127" s="271"/>
      <c r="H127" s="271"/>
      <c r="I127" s="272"/>
      <c r="J127" s="158" t="s">
        <v>100</v>
      </c>
      <c r="K127" s="121">
        <v>1</v>
      </c>
      <c r="L127" s="253">
        <v>0</v>
      </c>
      <c r="M127" s="254">
        <v>500000</v>
      </c>
      <c r="N127" s="273">
        <f t="shared" si="0"/>
        <v>0</v>
      </c>
      <c r="O127" s="274"/>
      <c r="P127" s="274"/>
      <c r="Q127" s="275"/>
      <c r="R127" s="22"/>
      <c r="T127" s="103"/>
      <c r="U127" s="27" t="s">
        <v>27</v>
      </c>
      <c r="V127" s="119">
        <v>0</v>
      </c>
      <c r="W127" s="119">
        <f>$V$127*$K$127</f>
        <v>0</v>
      </c>
      <c r="X127" s="119">
        <v>0</v>
      </c>
      <c r="Y127" s="119">
        <f>$X$127*$K$127</f>
        <v>0</v>
      </c>
      <c r="Z127" s="119">
        <v>0</v>
      </c>
      <c r="AA127" s="104">
        <f>$Z$127*$K$127</f>
        <v>0</v>
      </c>
      <c r="AR127" s="7" t="s">
        <v>102</v>
      </c>
      <c r="AT127" s="7" t="s">
        <v>99</v>
      </c>
      <c r="AU127" s="7" t="s">
        <v>69</v>
      </c>
      <c r="AY127" s="7" t="s">
        <v>98</v>
      </c>
      <c r="BE127" s="80">
        <f>IF($U$127="základní",$N$127,0)</f>
        <v>0</v>
      </c>
      <c r="BF127" s="80">
        <f>IF($U$127="snížená",$N$127,0)</f>
        <v>0</v>
      </c>
      <c r="BG127" s="80">
        <f>IF($U$127="zákl. přenesená",$N$127,0)</f>
        <v>0</v>
      </c>
      <c r="BH127" s="80">
        <f>IF($U$127="sníž. přenesená",$N$127,0)</f>
        <v>0</v>
      </c>
      <c r="BI127" s="80">
        <f>IF($U$127="nulová",$N$127,0)</f>
        <v>0</v>
      </c>
      <c r="BJ127" s="7" t="s">
        <v>67</v>
      </c>
      <c r="BK127" s="80">
        <f>ROUND($L$127*$K$127,2)</f>
        <v>0</v>
      </c>
      <c r="BL127" s="7" t="s">
        <v>102</v>
      </c>
    </row>
    <row r="128" spans="2:63" s="7" customFormat="1" ht="30" customHeight="1">
      <c r="B128" s="21"/>
      <c r="C128" s="120">
        <f t="shared" si="2"/>
        <v>17</v>
      </c>
      <c r="D128" s="122"/>
      <c r="E128" s="155"/>
      <c r="F128" s="270" t="s">
        <v>153</v>
      </c>
      <c r="G128" s="271"/>
      <c r="H128" s="271"/>
      <c r="I128" s="272"/>
      <c r="J128" s="159" t="s">
        <v>100</v>
      </c>
      <c r="K128" s="121">
        <v>1</v>
      </c>
      <c r="L128" s="255">
        <v>0</v>
      </c>
      <c r="M128" s="256">
        <v>500000</v>
      </c>
      <c r="N128" s="273">
        <f t="shared" si="0"/>
        <v>0</v>
      </c>
      <c r="O128" s="274"/>
      <c r="P128" s="274"/>
      <c r="Q128" s="275"/>
      <c r="R128" s="22"/>
      <c r="T128" s="109"/>
      <c r="U128" s="27"/>
      <c r="V128" s="119"/>
      <c r="W128" s="119"/>
      <c r="X128" s="119"/>
      <c r="Y128" s="119"/>
      <c r="Z128" s="119"/>
      <c r="AA128" s="119"/>
      <c r="BE128" s="80"/>
      <c r="BF128" s="80"/>
      <c r="BG128" s="80"/>
      <c r="BH128" s="80"/>
      <c r="BI128" s="80"/>
      <c r="BK128" s="80"/>
    </row>
    <row r="129" spans="2:63" s="7" customFormat="1" ht="30" customHeight="1">
      <c r="B129" s="21"/>
      <c r="C129" s="120">
        <f t="shared" si="2"/>
        <v>18</v>
      </c>
      <c r="D129" s="122"/>
      <c r="E129" s="155"/>
      <c r="F129" s="270" t="s">
        <v>154</v>
      </c>
      <c r="G129" s="271"/>
      <c r="H129" s="271"/>
      <c r="I129" s="272"/>
      <c r="J129" s="159" t="s">
        <v>100</v>
      </c>
      <c r="K129" s="121">
        <v>1</v>
      </c>
      <c r="L129" s="255">
        <v>0</v>
      </c>
      <c r="M129" s="256">
        <v>375000</v>
      </c>
      <c r="N129" s="273">
        <f t="shared" si="0"/>
        <v>0</v>
      </c>
      <c r="O129" s="274"/>
      <c r="P129" s="274"/>
      <c r="Q129" s="275"/>
      <c r="R129" s="22"/>
      <c r="T129" s="109"/>
      <c r="U129" s="27"/>
      <c r="V129" s="119"/>
      <c r="W129" s="119"/>
      <c r="X129" s="119"/>
      <c r="Y129" s="119"/>
      <c r="Z129" s="119"/>
      <c r="AA129" s="119"/>
      <c r="BE129" s="80"/>
      <c r="BF129" s="80"/>
      <c r="BG129" s="80"/>
      <c r="BH129" s="80"/>
      <c r="BI129" s="80"/>
      <c r="BK129" s="80"/>
    </row>
    <row r="130" spans="2:63" s="7" customFormat="1" ht="409.6" customHeight="1">
      <c r="B130" s="21"/>
      <c r="C130" s="120">
        <f t="shared" si="2"/>
        <v>19</v>
      </c>
      <c r="D130" s="122"/>
      <c r="E130" s="155"/>
      <c r="F130" s="270" t="s">
        <v>224</v>
      </c>
      <c r="G130" s="271"/>
      <c r="H130" s="271"/>
      <c r="I130" s="272"/>
      <c r="J130" s="159" t="s">
        <v>100</v>
      </c>
      <c r="K130" s="121">
        <v>1</v>
      </c>
      <c r="L130" s="255">
        <v>0</v>
      </c>
      <c r="M130" s="256">
        <v>375000</v>
      </c>
      <c r="N130" s="273">
        <f aca="true" t="shared" si="3" ref="N130:N132">ROUND(L130*K130,2)</f>
        <v>0</v>
      </c>
      <c r="O130" s="274"/>
      <c r="P130" s="274"/>
      <c r="Q130" s="275"/>
      <c r="R130" s="22"/>
      <c r="T130" s="109"/>
      <c r="U130" s="27"/>
      <c r="V130" s="119"/>
      <c r="W130" s="119"/>
      <c r="X130" s="119"/>
      <c r="Y130" s="119"/>
      <c r="Z130" s="119"/>
      <c r="AA130" s="119"/>
      <c r="BE130" s="80"/>
      <c r="BF130" s="80"/>
      <c r="BG130" s="80"/>
      <c r="BH130" s="80"/>
      <c r="BI130" s="80"/>
      <c r="BK130" s="80"/>
    </row>
    <row r="131" spans="2:63" s="7" customFormat="1" ht="145.5" customHeight="1">
      <c r="B131" s="21"/>
      <c r="C131" s="120">
        <f t="shared" si="2"/>
        <v>20</v>
      </c>
      <c r="D131" s="122"/>
      <c r="E131" s="155"/>
      <c r="F131" s="270" t="s">
        <v>146</v>
      </c>
      <c r="G131" s="271"/>
      <c r="H131" s="271"/>
      <c r="I131" s="272"/>
      <c r="J131" s="159" t="s">
        <v>100</v>
      </c>
      <c r="K131" s="121">
        <v>1</v>
      </c>
      <c r="L131" s="255">
        <v>0</v>
      </c>
      <c r="M131" s="256">
        <v>125000</v>
      </c>
      <c r="N131" s="273">
        <f t="shared" si="3"/>
        <v>0</v>
      </c>
      <c r="O131" s="274"/>
      <c r="P131" s="274"/>
      <c r="Q131" s="275"/>
      <c r="R131" s="22"/>
      <c r="T131" s="109"/>
      <c r="U131" s="27"/>
      <c r="V131" s="119"/>
      <c r="W131" s="119"/>
      <c r="X131" s="119"/>
      <c r="Y131" s="119"/>
      <c r="Z131" s="119"/>
      <c r="AA131" s="119"/>
      <c r="BE131" s="80"/>
      <c r="BF131" s="80"/>
      <c r="BG131" s="80"/>
      <c r="BH131" s="80"/>
      <c r="BI131" s="80"/>
      <c r="BK131" s="80"/>
    </row>
    <row r="132" spans="2:63" s="7" customFormat="1" ht="332.45" customHeight="1">
      <c r="B132" s="21"/>
      <c r="C132" s="120">
        <f t="shared" si="2"/>
        <v>21</v>
      </c>
      <c r="D132" s="122"/>
      <c r="E132" s="155"/>
      <c r="F132" s="270" t="s">
        <v>234</v>
      </c>
      <c r="G132" s="271"/>
      <c r="H132" s="271"/>
      <c r="I132" s="272"/>
      <c r="J132" s="159" t="s">
        <v>100</v>
      </c>
      <c r="K132" s="121">
        <v>1</v>
      </c>
      <c r="L132" s="255">
        <v>0</v>
      </c>
      <c r="M132" s="256">
        <v>250000</v>
      </c>
      <c r="N132" s="273">
        <f t="shared" si="3"/>
        <v>0</v>
      </c>
      <c r="O132" s="274"/>
      <c r="P132" s="274"/>
      <c r="Q132" s="275"/>
      <c r="R132" s="22"/>
      <c r="T132" s="109"/>
      <c r="U132" s="27"/>
      <c r="V132" s="119"/>
      <c r="W132" s="119"/>
      <c r="X132" s="119"/>
      <c r="Y132" s="119"/>
      <c r="Z132" s="119"/>
      <c r="AA132" s="119"/>
      <c r="BE132" s="80"/>
      <c r="BF132" s="80"/>
      <c r="BG132" s="80"/>
      <c r="BH132" s="80"/>
      <c r="BI132" s="80"/>
      <c r="BK132" s="80"/>
    </row>
    <row r="133" spans="2:63" s="7" customFormat="1" ht="24.95" customHeight="1">
      <c r="B133" s="21"/>
      <c r="C133" s="113"/>
      <c r="D133" s="101" t="s">
        <v>126</v>
      </c>
      <c r="E133" s="101"/>
      <c r="F133" s="172"/>
      <c r="G133" s="172"/>
      <c r="H133" s="172"/>
      <c r="I133" s="172"/>
      <c r="J133" s="101"/>
      <c r="K133" s="101"/>
      <c r="L133" s="101"/>
      <c r="M133" s="101"/>
      <c r="N133" s="260">
        <f>N134</f>
        <v>0</v>
      </c>
      <c r="O133" s="261"/>
      <c r="P133" s="261"/>
      <c r="Q133" s="261"/>
      <c r="R133" s="22"/>
      <c r="T133" s="109"/>
      <c r="U133" s="27"/>
      <c r="V133" s="119"/>
      <c r="W133" s="119"/>
      <c r="X133" s="119"/>
      <c r="Y133" s="119"/>
      <c r="Z133" s="119"/>
      <c r="AA133" s="119"/>
      <c r="BE133" s="80"/>
      <c r="BF133" s="80"/>
      <c r="BG133" s="80"/>
      <c r="BH133" s="80"/>
      <c r="BI133" s="80"/>
      <c r="BK133" s="80"/>
    </row>
    <row r="134" spans="2:63" s="7" customFormat="1" ht="20.1" customHeight="1">
      <c r="B134" s="21"/>
      <c r="C134" s="113"/>
      <c r="D134" s="112" t="s">
        <v>142</v>
      </c>
      <c r="E134" s="112"/>
      <c r="F134" s="167"/>
      <c r="G134" s="167"/>
      <c r="H134" s="167"/>
      <c r="I134" s="167"/>
      <c r="J134" s="112"/>
      <c r="K134" s="112"/>
      <c r="L134" s="112"/>
      <c r="M134" s="112"/>
      <c r="N134" s="262">
        <f>SUM(N135:Q139)</f>
        <v>0</v>
      </c>
      <c r="O134" s="261"/>
      <c r="P134" s="261"/>
      <c r="Q134" s="261"/>
      <c r="R134" s="22"/>
      <c r="T134" s="109"/>
      <c r="U134" s="27"/>
      <c r="V134" s="119"/>
      <c r="W134" s="119"/>
      <c r="X134" s="119"/>
      <c r="Y134" s="119"/>
      <c r="Z134" s="119"/>
      <c r="AA134" s="119"/>
      <c r="BE134" s="80"/>
      <c r="BF134" s="80"/>
      <c r="BG134" s="80"/>
      <c r="BH134" s="80"/>
      <c r="BI134" s="80"/>
      <c r="BK134" s="80"/>
    </row>
    <row r="135" spans="2:63" s="7" customFormat="1" ht="50.25" customHeight="1">
      <c r="B135" s="21"/>
      <c r="C135" s="120">
        <f>C132+1</f>
        <v>22</v>
      </c>
      <c r="D135" s="122"/>
      <c r="E135" s="155"/>
      <c r="F135" s="270" t="s">
        <v>139</v>
      </c>
      <c r="G135" s="271"/>
      <c r="H135" s="271"/>
      <c r="I135" s="272"/>
      <c r="J135" s="159" t="s">
        <v>100</v>
      </c>
      <c r="K135" s="121">
        <v>1</v>
      </c>
      <c r="L135" s="253">
        <v>0</v>
      </c>
      <c r="M135" s="254">
        <v>125000</v>
      </c>
      <c r="N135" s="273">
        <f aca="true" t="shared" si="4" ref="N135">ROUND(L135*K135,2)</f>
        <v>0</v>
      </c>
      <c r="O135" s="274"/>
      <c r="P135" s="274"/>
      <c r="Q135" s="275"/>
      <c r="R135" s="22"/>
      <c r="T135" s="109"/>
      <c r="U135" s="27"/>
      <c r="V135" s="119"/>
      <c r="W135" s="119"/>
      <c r="X135" s="119"/>
      <c r="Y135" s="119"/>
      <c r="Z135" s="119"/>
      <c r="AA135" s="119"/>
      <c r="BE135" s="80"/>
      <c r="BF135" s="80"/>
      <c r="BG135" s="80"/>
      <c r="BH135" s="80"/>
      <c r="BI135" s="80"/>
      <c r="BK135" s="80"/>
    </row>
    <row r="136" spans="2:63" s="7" customFormat="1" ht="52.5" customHeight="1">
      <c r="B136" s="21"/>
      <c r="C136" s="120">
        <f>C135+1</f>
        <v>23</v>
      </c>
      <c r="D136" s="122"/>
      <c r="E136" s="155"/>
      <c r="F136" s="307" t="s">
        <v>138</v>
      </c>
      <c r="G136" s="308"/>
      <c r="H136" s="308"/>
      <c r="I136" s="309"/>
      <c r="J136" s="159" t="s">
        <v>100</v>
      </c>
      <c r="K136" s="121">
        <v>1</v>
      </c>
      <c r="L136" s="253">
        <v>0</v>
      </c>
      <c r="M136" s="254">
        <v>125000</v>
      </c>
      <c r="N136" s="273">
        <f aca="true" t="shared" si="5" ref="N136">ROUND(L136*K136,2)</f>
        <v>0</v>
      </c>
      <c r="O136" s="274"/>
      <c r="P136" s="274"/>
      <c r="Q136" s="275"/>
      <c r="R136" s="22"/>
      <c r="T136" s="109"/>
      <c r="U136" s="27"/>
      <c r="V136" s="119"/>
      <c r="W136" s="119"/>
      <c r="X136" s="119"/>
      <c r="Y136" s="119"/>
      <c r="Z136" s="119"/>
      <c r="AA136" s="119"/>
      <c r="BE136" s="80"/>
      <c r="BF136" s="80"/>
      <c r="BG136" s="80"/>
      <c r="BH136" s="80"/>
      <c r="BI136" s="80"/>
      <c r="BK136" s="80"/>
    </row>
    <row r="137" spans="2:63" s="7" customFormat="1" ht="52.5" customHeight="1">
      <c r="B137" s="21"/>
      <c r="C137" s="120">
        <f>C136+1</f>
        <v>24</v>
      </c>
      <c r="D137" s="122"/>
      <c r="E137" s="155"/>
      <c r="F137" s="310" t="s">
        <v>230</v>
      </c>
      <c r="G137" s="311"/>
      <c r="H137" s="311"/>
      <c r="I137" s="311"/>
      <c r="J137" s="159" t="s">
        <v>100</v>
      </c>
      <c r="K137" s="121">
        <v>1</v>
      </c>
      <c r="L137" s="253">
        <v>0</v>
      </c>
      <c r="M137" s="254">
        <v>625000</v>
      </c>
      <c r="N137" s="273">
        <f aca="true" t="shared" si="6" ref="N137:N139">ROUND(L137*K137,2)</f>
        <v>0</v>
      </c>
      <c r="O137" s="274"/>
      <c r="P137" s="274"/>
      <c r="Q137" s="275"/>
      <c r="R137" s="22"/>
      <c r="T137" s="109"/>
      <c r="U137" s="27"/>
      <c r="V137" s="119"/>
      <c r="W137" s="119"/>
      <c r="X137" s="119"/>
      <c r="Y137" s="119"/>
      <c r="Z137" s="119"/>
      <c r="AA137" s="119"/>
      <c r="BE137" s="80"/>
      <c r="BF137" s="80"/>
      <c r="BG137" s="80"/>
      <c r="BH137" s="80"/>
      <c r="BI137" s="80"/>
      <c r="BK137" s="80"/>
    </row>
    <row r="138" spans="2:63" s="7" customFormat="1" ht="52.5" customHeight="1">
      <c r="B138" s="21"/>
      <c r="C138" s="120">
        <f>C137+1</f>
        <v>25</v>
      </c>
      <c r="D138" s="122"/>
      <c r="E138" s="155"/>
      <c r="F138" s="310" t="s">
        <v>231</v>
      </c>
      <c r="G138" s="311"/>
      <c r="H138" s="311"/>
      <c r="I138" s="311"/>
      <c r="J138" s="159" t="s">
        <v>100</v>
      </c>
      <c r="K138" s="121">
        <v>1</v>
      </c>
      <c r="L138" s="253">
        <v>0</v>
      </c>
      <c r="M138" s="254">
        <v>500000</v>
      </c>
      <c r="N138" s="273">
        <f t="shared" si="6"/>
        <v>0</v>
      </c>
      <c r="O138" s="274"/>
      <c r="P138" s="274"/>
      <c r="Q138" s="275"/>
      <c r="R138" s="22"/>
      <c r="T138" s="109"/>
      <c r="U138" s="27"/>
      <c r="V138" s="119"/>
      <c r="W138" s="119"/>
      <c r="X138" s="119"/>
      <c r="Y138" s="119"/>
      <c r="Z138" s="119"/>
      <c r="AA138" s="119"/>
      <c r="BE138" s="80"/>
      <c r="BF138" s="80"/>
      <c r="BG138" s="80"/>
      <c r="BH138" s="80"/>
      <c r="BI138" s="80"/>
      <c r="BK138" s="80"/>
    </row>
    <row r="139" spans="2:63" s="7" customFormat="1" ht="52.5" customHeight="1">
      <c r="B139" s="21"/>
      <c r="C139" s="120">
        <f>C138+1</f>
        <v>26</v>
      </c>
      <c r="D139" s="122"/>
      <c r="E139" s="155"/>
      <c r="F139" s="310" t="s">
        <v>232</v>
      </c>
      <c r="G139" s="311"/>
      <c r="H139" s="311"/>
      <c r="I139" s="311"/>
      <c r="J139" s="159" t="s">
        <v>100</v>
      </c>
      <c r="K139" s="121">
        <v>1</v>
      </c>
      <c r="L139" s="253">
        <v>0</v>
      </c>
      <c r="M139" s="254">
        <v>437500</v>
      </c>
      <c r="N139" s="273">
        <f t="shared" si="6"/>
        <v>0</v>
      </c>
      <c r="O139" s="274"/>
      <c r="P139" s="274"/>
      <c r="Q139" s="275"/>
      <c r="R139" s="22"/>
      <c r="T139" s="109"/>
      <c r="U139" s="27"/>
      <c r="V139" s="119"/>
      <c r="W139" s="119"/>
      <c r="X139" s="119"/>
      <c r="Y139" s="119"/>
      <c r="Z139" s="119"/>
      <c r="AA139" s="119"/>
      <c r="BE139" s="80"/>
      <c r="BF139" s="80"/>
      <c r="BG139" s="80"/>
      <c r="BH139" s="80"/>
      <c r="BI139" s="80"/>
      <c r="BK139" s="80"/>
    </row>
    <row r="140" spans="2:18" ht="14.25" customHeight="1"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110"/>
    </row>
  </sheetData>
  <sheetProtection algorithmName="SHA-512" hashValue="CtFj07AeZ3xjeSGDfeEPKsxHPGQIyAUdjAdA5gMhwxlOww94i9mDWbMRG07XtovRDyfDxWCxC7KwuPhjQuiVoA==" saltValue="AqBKkZrvBwQXirjCpjMAKQ==" spinCount="100000" sheet="1" objects="1" scenarios="1" selectLockedCells="1"/>
  <mergeCells count="138"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6:I136"/>
    <mergeCell ref="N133:Q133"/>
    <mergeCell ref="N134:Q134"/>
    <mergeCell ref="N136:Q136"/>
    <mergeCell ref="F135:I135"/>
    <mergeCell ref="N135:Q135"/>
    <mergeCell ref="L135:M135"/>
    <mergeCell ref="L136:M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N126:Q126"/>
    <mergeCell ref="L127:M127"/>
    <mergeCell ref="L128:M128"/>
    <mergeCell ref="L129:M129"/>
    <mergeCell ref="L126:M126"/>
    <mergeCell ref="F124:I124"/>
    <mergeCell ref="F117:I117"/>
    <mergeCell ref="F121:I121"/>
    <mergeCell ref="F120:I120"/>
    <mergeCell ref="N120:Q120"/>
    <mergeCell ref="F122:I122"/>
    <mergeCell ref="F125:I125"/>
    <mergeCell ref="F128:I128"/>
    <mergeCell ref="N122:Q122"/>
    <mergeCell ref="F123:I123"/>
    <mergeCell ref="N127:Q127"/>
    <mergeCell ref="L125:M125"/>
    <mergeCell ref="N125:Q125"/>
    <mergeCell ref="F126:I126"/>
    <mergeCell ref="F127:I127"/>
    <mergeCell ref="F129:I129"/>
    <mergeCell ref="N128:Q128"/>
    <mergeCell ref="N129:Q129"/>
    <mergeCell ref="M105:Q105"/>
    <mergeCell ref="F115:I115"/>
    <mergeCell ref="N115:Q115"/>
    <mergeCell ref="F118:I118"/>
    <mergeCell ref="F119:I119"/>
    <mergeCell ref="N119:Q119"/>
    <mergeCell ref="N112:Q112"/>
    <mergeCell ref="N109:Q109"/>
    <mergeCell ref="N110:Q110"/>
    <mergeCell ref="F112:I112"/>
    <mergeCell ref="N111:Q111"/>
    <mergeCell ref="N114:Q114"/>
    <mergeCell ref="F114:I114"/>
    <mergeCell ref="F113:I113"/>
    <mergeCell ref="N113:Q113"/>
    <mergeCell ref="N118:Q118"/>
    <mergeCell ref="F116:I116"/>
    <mergeCell ref="S2:AC2"/>
    <mergeCell ref="F10:L10"/>
    <mergeCell ref="F9:L9"/>
    <mergeCell ref="C2:Q2"/>
    <mergeCell ref="C4:Q4"/>
    <mergeCell ref="F6:P6"/>
    <mergeCell ref="F8:P8"/>
    <mergeCell ref="O10:P10"/>
    <mergeCell ref="O12:P12"/>
    <mergeCell ref="F7:P7"/>
    <mergeCell ref="F100:P100"/>
    <mergeCell ref="O16:P16"/>
    <mergeCell ref="O18:P18"/>
    <mergeCell ref="O19:P19"/>
    <mergeCell ref="O21:P21"/>
    <mergeCell ref="O22:P22"/>
    <mergeCell ref="M25:P25"/>
    <mergeCell ref="M27:P27"/>
    <mergeCell ref="H29:J29"/>
    <mergeCell ref="M29:P29"/>
    <mergeCell ref="M30:P30"/>
    <mergeCell ref="F78:P78"/>
    <mergeCell ref="M33:P33"/>
    <mergeCell ref="L35:P35"/>
    <mergeCell ref="H1:K1"/>
    <mergeCell ref="F108:I108"/>
    <mergeCell ref="L108:M108"/>
    <mergeCell ref="N108:Q10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F103:I103"/>
    <mergeCell ref="F81:I81"/>
    <mergeCell ref="M31:P31"/>
    <mergeCell ref="H32:J32"/>
    <mergeCell ref="M32:P32"/>
    <mergeCell ref="H31:J31"/>
    <mergeCell ref="M103:P103"/>
    <mergeCell ref="H33:J33"/>
    <mergeCell ref="M106:Q106"/>
    <mergeCell ref="H30:J30"/>
    <mergeCell ref="F101:P101"/>
    <mergeCell ref="O13:P13"/>
    <mergeCell ref="O15:P15"/>
    <mergeCell ref="N116:Q116"/>
    <mergeCell ref="N123:Q123"/>
    <mergeCell ref="N124:Q124"/>
    <mergeCell ref="N117:Q117"/>
    <mergeCell ref="N121:Q121"/>
    <mergeCell ref="L122:M122"/>
    <mergeCell ref="L120:M120"/>
    <mergeCell ref="L115:M115"/>
    <mergeCell ref="L119:M119"/>
    <mergeCell ref="L112:M112"/>
    <mergeCell ref="L114:M114"/>
    <mergeCell ref="L113:M113"/>
    <mergeCell ref="L118:M118"/>
    <mergeCell ref="L116:M116"/>
    <mergeCell ref="L123:M123"/>
    <mergeCell ref="L124:M124"/>
    <mergeCell ref="L117:M117"/>
    <mergeCell ref="L121:M121"/>
    <mergeCell ref="C76:Q76"/>
    <mergeCell ref="L92:Q92"/>
    <mergeCell ref="E16:L16"/>
    <mergeCell ref="C98:Q98"/>
  </mergeCells>
  <hyperlinks>
    <hyperlink ref="F1:G1" location="C2" tooltip="Krycí list rozpočtu" display="1) Krycí list rozpočtu"/>
    <hyperlink ref="H1:K1" location="'VN + ON'!C92" tooltip="Rekapitulace rozpočtu" display="2) Rekapitulace rozpočtu"/>
    <hyperlink ref="L1" location="'VN + ON'!C115" tooltip="Rozpočet" display="3) Rozpočet"/>
    <hyperlink ref="S1:T1" location="'Rekapitulace stavby'!C2" tooltip="Rekapitulace stavby" display="Rekapitulace stavby"/>
    <hyperlink ref="F1" location="'VN + ON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horizontalDpi="600" verticalDpi="600" orientation="portrait" paperSize="9" scale="92" r:id="rId2"/>
  <headerFooter alignWithMargins="0">
    <oddFooter>&amp;CStrana &amp;P z &amp;N</oddFooter>
  </headerFooter>
  <rowBreaks count="2" manualBreakCount="2">
    <brk id="123" min="1" max="16383" man="1"/>
    <brk id="131" min="1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847FD2927C94AA8D4177FD74A5B3E" ma:contentTypeVersion="11" ma:contentTypeDescription="Vytvoří nový dokument" ma:contentTypeScope="" ma:versionID="e19b103aa7681ef73334f24ca59b7bce">
  <xsd:schema xmlns:xsd="http://www.w3.org/2001/XMLSchema" xmlns:xs="http://www.w3.org/2001/XMLSchema" xmlns:p="http://schemas.microsoft.com/office/2006/metadata/properties" xmlns:ns2="daaf7cb5-f724-4fdc-b715-5d6af77011cc" xmlns:ns3="0875ebb0-a0df-49ee-8b32-c6d75c750aff" targetNamespace="http://schemas.microsoft.com/office/2006/metadata/properties" ma:root="true" ma:fieldsID="f0096e2d7018ff7a86bc17c98b34f9eb" ns2:_="" ns3:_="">
    <xsd:import namespace="daaf7cb5-f724-4fdc-b715-5d6af77011cc"/>
    <xsd:import namespace="0875ebb0-a0df-49ee-8b32-c6d75c750a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f7cb5-f724-4fdc-b715-5d6af7701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ffca8baf-e504-47f3-bc78-df046c1771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5ebb0-a0df-49ee-8b32-c6d75c750af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30e0083-9b13-461e-ae0f-11e745a48044}" ma:internalName="TaxCatchAll" ma:showField="CatchAllData" ma:web="0875ebb0-a0df-49ee-8b32-c6d75c750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75ebb0-a0df-49ee-8b32-c6d75c750aff" xsi:nil="true"/>
    <lcf76f155ced4ddcb4097134ff3c332f xmlns="daaf7cb5-f724-4fdc-b715-5d6af77011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43971EC-C007-4B92-A0FB-D8F2B219EEF7}"/>
</file>

<file path=customXml/itemProps2.xml><?xml version="1.0" encoding="utf-8"?>
<ds:datastoreItem xmlns:ds="http://schemas.openxmlformats.org/officeDocument/2006/customXml" ds:itemID="{A530E673-3308-4755-9E77-38065412516E}"/>
</file>

<file path=customXml/itemProps3.xml><?xml version="1.0" encoding="utf-8"?>
<ds:datastoreItem xmlns:ds="http://schemas.openxmlformats.org/officeDocument/2006/customXml" ds:itemID="{E4ACA25C-77F6-47E0-8ECC-7316403CC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Lebeda</dc:creator>
  <cp:keywords/>
  <dc:description/>
  <cp:lastModifiedBy>David Heneš</cp:lastModifiedBy>
  <cp:lastPrinted>2021-05-25T15:09:11Z</cp:lastPrinted>
  <dcterms:created xsi:type="dcterms:W3CDTF">2019-04-25T07:42:54Z</dcterms:created>
  <dcterms:modified xsi:type="dcterms:W3CDTF">2023-12-08T09:22:28Z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0x0101000DA847FD2927C94AA8D4177FD74A5B3E</vt:lpwstr>
  </property>
</Properties>
</file>