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7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04_Litvínov_DPS\"/>
    </mc:Choice>
  </mc:AlternateContent>
  <xr:revisionPtr revIDLastSave="0" documentId="13_ncr:1_{D7F319F2-321B-4C11-B6FD-D117346690BB}" xr6:coauthVersionLast="47" xr6:coauthVersionMax="47" xr10:uidLastSave="{00000000-0000-0000-0000-000000000000}"/>
  <workbookProtection workbookAlgorithmName="SHA-512" workbookHashValue="AaLrkhOvzRdIHA67Qw9gei6XlQRaSYJ1/ZFEYkY+9Q5RAvqc5d+4DbKAilAB3YKrAp4zOAr9QAK0PHp10G8D9g==" workbookSaltValue="NVC0ADUrF6p753oir8GqdA==" workbookSpinCount="100000" lockStructure="1"/>
  <bookViews>
    <workbookView xWindow="-120" yWindow="-120" windowWidth="38640" windowHeight="211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26" r:id="rId4"/>
    <sheet name="SO04" sheetId="22" r:id="rId5"/>
    <sheet name="IO01" sheetId="23" r:id="rId6"/>
    <sheet name="IO02" sheetId="24" r:id="rId7"/>
    <sheet name="IO03" sheetId="25" r:id="rId8"/>
    <sheet name="VN + ON" sheetId="10" r:id="rId9"/>
  </sheets>
  <externalReferences>
    <externalReference r:id="rId10"/>
  </externalReferences>
  <definedNames>
    <definedName name="_" localSheetId="3">#REF!</definedName>
    <definedName name="_">#REF!</definedName>
    <definedName name="_SO02" localSheetId="3">[1]Rekapitulace!#REF!</definedName>
    <definedName name="_SO02">Rekapitulace!#REF!</definedName>
    <definedName name="_SO03" localSheetId="3">[1]Rekapitulace!#REF!</definedName>
    <definedName name="_SO03">Rekapitulace!#REF!</definedName>
    <definedName name="_xlnm.Print_Titles" localSheetId="5">'IO01'!$108:$108</definedName>
    <definedName name="_xlnm.Print_Titles" localSheetId="6">'IO02'!$108:$108</definedName>
    <definedName name="_xlnm.Print_Titles" localSheetId="7">'IO03'!$108:$108</definedName>
    <definedName name="_xlnm.Print_Titles" localSheetId="0">Rekapitulace!$84:$84</definedName>
    <definedName name="_xlnm.Print_Titles" localSheetId="1">'SO01'!$111:$111</definedName>
    <definedName name="_xlnm.Print_Titles" localSheetId="2">'SO02'!$109:$109</definedName>
    <definedName name="_xlnm.Print_Titles" localSheetId="3">'SO03'!$110:$110</definedName>
    <definedName name="_xlnm.Print_Titles" localSheetId="4">'SO04'!$109:$109</definedName>
    <definedName name="_xlnm.Print_Titles" localSheetId="8">'VN + ON'!$108:$108</definedName>
    <definedName name="_xlnm.Print_Area" localSheetId="5">'IO01'!$B$3:$R$70,'IO01'!$B$74:$R$92,'IO01'!$B$96:$R$118</definedName>
    <definedName name="_xlnm.Print_Area" localSheetId="6">'IO02'!$B$3:$R$70,'IO02'!$B$74:$R$92,'IO02'!$B$96:$R$123</definedName>
    <definedName name="_xlnm.Print_Area" localSheetId="7">'IO03'!$B$3:$R$70,'IO03'!$B$74:$R$92,'IO03'!$B$96:$R$125</definedName>
    <definedName name="_xlnm.Print_Area" localSheetId="0">Rekapitulace!$B$3:$AQ$70,Rekapitulace!$B$74:$AQ$96</definedName>
    <definedName name="_xlnm.Print_Area" localSheetId="1">'SO01'!$B$3:$R$70,'SO01'!$B$74:$R$95,'SO01'!$B$99:$R$150</definedName>
    <definedName name="_xlnm.Print_Area" localSheetId="2">'SO02'!$B$3:$R$70,'SO02'!$B$74:$R$93,'SO02'!$B$97:$R$119</definedName>
    <definedName name="_xlnm.Print_Area" localSheetId="3">'SO03'!$B$3:$R$70,'SO03'!$B$74:$R$94,'SO03'!$B$98:$R$124</definedName>
    <definedName name="_xlnm.Print_Area" localSheetId="4">'SO04'!$B$3:$R$70,'SO04'!$B$74:$R$93,'SO04'!$B$97:$R$117</definedName>
    <definedName name="_xlnm.Print_Area" localSheetId="8">'VN + ON'!$B$3:$R$71,'VN + ON'!$B$75:$R$93,'VN + ON'!$B$97:$R$140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2" i="10" l="1"/>
  <c r="N131" i="10"/>
  <c r="N130" i="10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39" i="10"/>
  <c r="N138" i="10"/>
  <c r="N137" i="10"/>
  <c r="N136" i="10"/>
  <c r="N135" i="10"/>
  <c r="N124" i="25"/>
  <c r="N123" i="25" s="1"/>
  <c r="N122" i="25"/>
  <c r="N120" i="25" s="1"/>
  <c r="N121" i="25"/>
  <c r="N119" i="25"/>
  <c r="N118" i="25"/>
  <c r="N117" i="25"/>
  <c r="N116" i="25" s="1"/>
  <c r="N115" i="25"/>
  <c r="N114" i="25"/>
  <c r="N113" i="25"/>
  <c r="N112" i="25"/>
  <c r="N122" i="24"/>
  <c r="N121" i="24"/>
  <c r="N119" i="24"/>
  <c r="N118" i="24" s="1"/>
  <c r="N117" i="24"/>
  <c r="N116" i="24" s="1"/>
  <c r="N115" i="24"/>
  <c r="N114" i="24"/>
  <c r="N113" i="24"/>
  <c r="N112" i="24"/>
  <c r="N117" i="23"/>
  <c r="N116" i="23"/>
  <c r="N114" i="23"/>
  <c r="N113" i="23" s="1"/>
  <c r="N112" i="23"/>
  <c r="N111" i="23" s="1"/>
  <c r="N116" i="22"/>
  <c r="N115" i="22" s="1"/>
  <c r="N113" i="22"/>
  <c r="N112" i="22" s="1"/>
  <c r="N123" i="26"/>
  <c r="N122" i="26"/>
  <c r="N119" i="26"/>
  <c r="N118" i="26"/>
  <c r="N117" i="26"/>
  <c r="N116" i="26" s="1"/>
  <c r="N115" i="26"/>
  <c r="N114" i="26"/>
  <c r="N115" i="21"/>
  <c r="N114" i="21"/>
  <c r="N113" i="21"/>
  <c r="N149" i="2"/>
  <c r="N148" i="2"/>
  <c r="N147" i="2"/>
  <c r="N92" i="2" s="1"/>
  <c r="N146" i="2"/>
  <c r="N145" i="2" s="1"/>
  <c r="N144" i="2"/>
  <c r="N143" i="2" s="1"/>
  <c r="N141" i="2"/>
  <c r="N139" i="2" s="1"/>
  <c r="N140" i="2"/>
  <c r="N138" i="2"/>
  <c r="N137" i="2"/>
  <c r="N134" i="2"/>
  <c r="N133" i="2" s="1"/>
  <c r="N132" i="2"/>
  <c r="N131" i="2" s="1"/>
  <c r="N130" i="2"/>
  <c r="N129" i="2"/>
  <c r="N126" i="2"/>
  <c r="N125" i="2" s="1"/>
  <c r="N124" i="2"/>
  <c r="N123" i="2" s="1"/>
  <c r="N122" i="2"/>
  <c r="N121" i="2"/>
  <c r="N120" i="2" s="1"/>
  <c r="N119" i="2"/>
  <c r="N118" i="2"/>
  <c r="N116" i="2"/>
  <c r="N115" i="2"/>
  <c r="AN8" i="1"/>
  <c r="C124" i="25"/>
  <c r="N134" i="10" l="1"/>
  <c r="N133" i="10" s="1"/>
  <c r="N111" i="25"/>
  <c r="N110" i="25" s="1"/>
  <c r="N89" i="25" s="1"/>
  <c r="L91" i="25" s="1"/>
  <c r="N120" i="24"/>
  <c r="N111" i="24"/>
  <c r="N115" i="23"/>
  <c r="N121" i="26"/>
  <c r="N120" i="26" s="1"/>
  <c r="N91" i="26" s="1"/>
  <c r="N112" i="21"/>
  <c r="N136" i="2"/>
  <c r="N135" i="2" s="1"/>
  <c r="N90" i="2" s="1"/>
  <c r="N128" i="2"/>
  <c r="N117" i="2"/>
  <c r="N114" i="2"/>
  <c r="N113" i="2" s="1"/>
  <c r="N110" i="23"/>
  <c r="N109" i="23" s="1"/>
  <c r="N88" i="23" s="1"/>
  <c r="N113" i="26"/>
  <c r="N112" i="26" s="1"/>
  <c r="N142" i="2"/>
  <c r="N91" i="2" s="1"/>
  <c r="N127" i="2"/>
  <c r="N89" i="2" s="1"/>
  <c r="E22" i="26"/>
  <c r="M84" i="26" s="1"/>
  <c r="E19" i="26"/>
  <c r="E16" i="26"/>
  <c r="E13" i="26"/>
  <c r="F107" i="26" s="1"/>
  <c r="O22" i="26"/>
  <c r="O21" i="26"/>
  <c r="O19" i="26"/>
  <c r="O18" i="26"/>
  <c r="O16" i="26"/>
  <c r="O15" i="26"/>
  <c r="O13" i="26"/>
  <c r="O12" i="26"/>
  <c r="F10" i="26"/>
  <c r="F105" i="26" s="1"/>
  <c r="F8" i="26"/>
  <c r="F103" i="26"/>
  <c r="F7" i="26"/>
  <c r="F6" i="26"/>
  <c r="AA123" i="26"/>
  <c r="Y123" i="26"/>
  <c r="W123" i="26"/>
  <c r="AA122" i="26"/>
  <c r="Y122" i="26"/>
  <c r="W122" i="26"/>
  <c r="AA119" i="26"/>
  <c r="Y119" i="26"/>
  <c r="W119" i="26"/>
  <c r="AA118" i="26"/>
  <c r="Y118" i="26"/>
  <c r="W118" i="26"/>
  <c r="C118" i="26"/>
  <c r="C119" i="26" s="1"/>
  <c r="C122" i="26" s="1"/>
  <c r="C123" i="26" s="1"/>
  <c r="C115" i="26"/>
  <c r="AA114" i="26"/>
  <c r="Y114" i="26"/>
  <c r="W114" i="26"/>
  <c r="AA111" i="26"/>
  <c r="Y111" i="26"/>
  <c r="W111" i="26"/>
  <c r="M107" i="26"/>
  <c r="D91" i="26"/>
  <c r="D90" i="26"/>
  <c r="D89" i="26"/>
  <c r="M83" i="26"/>
  <c r="H33" i="26"/>
  <c r="H32" i="26"/>
  <c r="H31" i="26"/>
  <c r="F108" i="26"/>
  <c r="F83" i="26"/>
  <c r="F102" i="26"/>
  <c r="F77" i="26"/>
  <c r="N110" i="24" l="1"/>
  <c r="M89" i="24" s="1"/>
  <c r="L91" i="24" s="1"/>
  <c r="N112" i="2"/>
  <c r="L94" i="2" s="1"/>
  <c r="N88" i="2"/>
  <c r="N87" i="2" s="1"/>
  <c r="N89" i="23"/>
  <c r="L91" i="23" s="1"/>
  <c r="N90" i="26"/>
  <c r="F78" i="26"/>
  <c r="F101" i="26"/>
  <c r="M108" i="26"/>
  <c r="F79" i="26"/>
  <c r="F81" i="26"/>
  <c r="F84" i="26"/>
  <c r="M109" i="24" l="1"/>
  <c r="M88" i="24" s="1"/>
  <c r="N89" i="26"/>
  <c r="L93" i="26" s="1"/>
  <c r="N111" i="26"/>
  <c r="N88" i="26" s="1"/>
  <c r="M25" i="26" s="1"/>
  <c r="M27" i="26" s="1"/>
  <c r="AL89" i="1" s="1"/>
  <c r="H29" i="26" l="1"/>
  <c r="M29" i="26" s="1"/>
  <c r="L35" i="26" s="1"/>
  <c r="AN89" i="1" s="1"/>
  <c r="N118" i="21"/>
  <c r="D90" i="21"/>
  <c r="C114" i="23"/>
  <c r="C112" i="23"/>
  <c r="F8" i="22"/>
  <c r="F102" i="22" s="1"/>
  <c r="F7" i="22"/>
  <c r="F101" i="22" s="1"/>
  <c r="C116" i="22"/>
  <c r="C139" i="10"/>
  <c r="C138" i="10"/>
  <c r="C137" i="10"/>
  <c r="N117" i="21" l="1"/>
  <c r="N116" i="21" s="1"/>
  <c r="N90" i="21" s="1"/>
  <c r="D92" i="2"/>
  <c r="F7" i="10"/>
  <c r="F7" i="25"/>
  <c r="F100" i="25" s="1"/>
  <c r="F7" i="24"/>
  <c r="F100" i="24" s="1"/>
  <c r="F7" i="23"/>
  <c r="F78" i="23" s="1"/>
  <c r="F7" i="2"/>
  <c r="C116" i="23"/>
  <c r="C121" i="24"/>
  <c r="C117" i="24"/>
  <c r="C119" i="24"/>
  <c r="C115" i="24"/>
  <c r="O10" i="26"/>
  <c r="AA116" i="25"/>
  <c r="Y116" i="25"/>
  <c r="W116" i="25"/>
  <c r="C113" i="25"/>
  <c r="C114" i="25" s="1"/>
  <c r="C115" i="25" s="1"/>
  <c r="C117" i="25" s="1"/>
  <c r="C119" i="25" s="1"/>
  <c r="C121" i="25" s="1"/>
  <c r="AA112" i="25"/>
  <c r="Y112" i="25"/>
  <c r="W112" i="25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4" i="22"/>
  <c r="N90" i="22" s="1"/>
  <c r="AA113" i="22"/>
  <c r="Y113" i="22"/>
  <c r="W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O18" i="22"/>
  <c r="O16" i="22"/>
  <c r="E16" i="22"/>
  <c r="F107" i="22" s="1"/>
  <c r="O15" i="22"/>
  <c r="O13" i="22"/>
  <c r="E13" i="22"/>
  <c r="F106" i="22" s="1"/>
  <c r="O12" i="22"/>
  <c r="F6" i="22"/>
  <c r="F100" i="22" s="1"/>
  <c r="C114" i="21"/>
  <c r="M105" i="26" l="1"/>
  <c r="M81" i="26"/>
  <c r="M83" i="22"/>
  <c r="M106" i="22"/>
  <c r="O10" i="25"/>
  <c r="M103" i="25" s="1"/>
  <c r="N111" i="10"/>
  <c r="N110" i="10" s="1"/>
  <c r="N111" i="22"/>
  <c r="N89" i="22" s="1"/>
  <c r="L92" i="22" s="1"/>
  <c r="O10" i="22"/>
  <c r="M104" i="22" s="1"/>
  <c r="O10" i="23"/>
  <c r="M81" i="23" s="1"/>
  <c r="O10" i="24"/>
  <c r="M81" i="24" s="1"/>
  <c r="C122" i="25"/>
  <c r="C117" i="23"/>
  <c r="M84" i="22"/>
  <c r="F84" i="23"/>
  <c r="F99" i="24"/>
  <c r="M84" i="25"/>
  <c r="F100" i="23"/>
  <c r="F78" i="24"/>
  <c r="F99" i="25"/>
  <c r="F101" i="23"/>
  <c r="M106" i="24"/>
  <c r="F84" i="22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19" i="2"/>
  <c r="Y119" i="2"/>
  <c r="W119" i="2"/>
  <c r="W128" i="2"/>
  <c r="Y128" i="2"/>
  <c r="AA128" i="2"/>
  <c r="N90" i="10" l="1"/>
  <c r="N109" i="10"/>
  <c r="M81" i="22"/>
  <c r="M81" i="25"/>
  <c r="N110" i="22"/>
  <c r="M103" i="24"/>
  <c r="M103" i="23"/>
  <c r="N88" i="22" l="1"/>
  <c r="M25" i="22" s="1"/>
  <c r="M27" i="22" s="1"/>
  <c r="M109" i="25"/>
  <c r="M25" i="23"/>
  <c r="M27" i="23" s="1"/>
  <c r="M25" i="24"/>
  <c r="N88" i="25" l="1"/>
  <c r="M25" i="25" s="1"/>
  <c r="M27" i="25" s="1"/>
  <c r="AL90" i="1"/>
  <c r="H29" i="22"/>
  <c r="M29" i="22" s="1"/>
  <c r="L35" i="22" s="1"/>
  <c r="AN90" i="1" s="1"/>
  <c r="H29" i="23"/>
  <c r="M29" i="23" s="1"/>
  <c r="L35" i="23" s="1"/>
  <c r="AN91" i="1" s="1"/>
  <c r="AL91" i="1"/>
  <c r="M27" i="24"/>
  <c r="AL93" i="1" l="1"/>
  <c r="H29" i="25"/>
  <c r="M29" i="25" s="1"/>
  <c r="L35" i="25" s="1"/>
  <c r="AN93" i="1" s="1"/>
  <c r="H29" i="24"/>
  <c r="M29" i="24" s="1"/>
  <c r="L35" i="24" s="1"/>
  <c r="AN92" i="1" s="1"/>
  <c r="AL92" i="1"/>
  <c r="F8" i="2"/>
  <c r="C115" i="21"/>
  <c r="C118" i="21" s="1"/>
  <c r="N111" i="21" l="1"/>
  <c r="N89" i="21" l="1"/>
  <c r="L92" i="21" s="1"/>
  <c r="N110" i="21"/>
  <c r="N88" i="21" s="1"/>
  <c r="AA112" i="21"/>
  <c r="Y112" i="21"/>
  <c r="W112" i="21"/>
  <c r="D89" i="21"/>
  <c r="H33" i="21"/>
  <c r="H32" i="21"/>
  <c r="H31" i="21"/>
  <c r="O22" i="21"/>
  <c r="E22" i="21"/>
  <c r="M107" i="21" s="1"/>
  <c r="O21" i="21"/>
  <c r="O19" i="21"/>
  <c r="E19" i="21"/>
  <c r="M106" i="21" s="1"/>
  <c r="O18" i="21"/>
  <c r="O16" i="21"/>
  <c r="E16" i="21"/>
  <c r="F107" i="21" s="1"/>
  <c r="O15" i="21"/>
  <c r="O13" i="21"/>
  <c r="E13" i="21"/>
  <c r="F83" i="21" s="1"/>
  <c r="O12" i="21"/>
  <c r="O10" i="21"/>
  <c r="M81" i="21" s="1"/>
  <c r="F8" i="21"/>
  <c r="F79" i="21" s="1"/>
  <c r="F7" i="21"/>
  <c r="F101" i="21" s="1"/>
  <c r="F6" i="21"/>
  <c r="F100" i="21" s="1"/>
  <c r="W111" i="21" l="1"/>
  <c r="W110" i="21" s="1"/>
  <c r="Y111" i="21"/>
  <c r="Y110" i="21" s="1"/>
  <c r="AA111" i="21"/>
  <c r="AA110" i="21" s="1"/>
  <c r="F102" i="21"/>
  <c r="M83" i="21"/>
  <c r="F84" i="21"/>
  <c r="F77" i="21"/>
  <c r="M84" i="21"/>
  <c r="M104" i="21"/>
  <c r="F78" i="21"/>
  <c r="F106" i="21"/>
  <c r="M25" i="21" l="1"/>
  <c r="M27" i="21" s="1"/>
  <c r="AL88" i="1" s="1"/>
  <c r="H29" i="21" l="1"/>
  <c r="M29" i="21" s="1"/>
  <c r="L35" i="21" s="1"/>
  <c r="AN88" i="1" s="1"/>
  <c r="D88" i="2" l="1"/>
  <c r="F79" i="2" l="1"/>
  <c r="N89" i="10" l="1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L79" i="1" l="1"/>
  <c r="F10" i="23" l="1"/>
  <c r="F10" i="22"/>
  <c r="F104" i="22" s="1"/>
  <c r="F10" i="25"/>
  <c r="F10" i="24"/>
  <c r="F10" i="21"/>
  <c r="F81" i="21" s="1"/>
  <c r="AA122" i="2"/>
  <c r="Y122" i="2"/>
  <c r="W122" i="2"/>
  <c r="C116" i="2"/>
  <c r="C118" i="2" s="1"/>
  <c r="F8" i="10"/>
  <c r="F101" i="10" s="1"/>
  <c r="F104" i="2"/>
  <c r="F78" i="2"/>
  <c r="F10" i="10"/>
  <c r="F103" i="10" s="1"/>
  <c r="AM79" i="1"/>
  <c r="M106" i="2"/>
  <c r="F6" i="2"/>
  <c r="F102" i="2" s="1"/>
  <c r="O12" i="2"/>
  <c r="E13" i="2"/>
  <c r="F108" i="2" s="1"/>
  <c r="O13" i="2"/>
  <c r="O15" i="2"/>
  <c r="E16" i="2"/>
  <c r="F84" i="2" s="1"/>
  <c r="O18" i="2"/>
  <c r="E19" i="2"/>
  <c r="M108" i="2" s="1"/>
  <c r="O19" i="2"/>
  <c r="O21" i="2"/>
  <c r="E22" i="2"/>
  <c r="M84" i="2" s="1"/>
  <c r="O22" i="2"/>
  <c r="W115" i="2"/>
  <c r="Y115" i="2"/>
  <c r="AA115" i="2"/>
  <c r="W116" i="2"/>
  <c r="Y116" i="2"/>
  <c r="AA116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5" i="1"/>
  <c r="CA95" i="1"/>
  <c r="CB95" i="1"/>
  <c r="CC95" i="1"/>
  <c r="CE95" i="1"/>
  <c r="CF95" i="1"/>
  <c r="CG95" i="1"/>
  <c r="CH95" i="1"/>
  <c r="CI95" i="1"/>
  <c r="CJ95" i="1"/>
  <c r="CK95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K95" i="1"/>
  <c r="BY95" i="1" s="1"/>
  <c r="CD95" i="1"/>
  <c r="BK97" i="1"/>
  <c r="BY97" i="1" s="1"/>
  <c r="CD97" i="1"/>
  <c r="BK96" i="1"/>
  <c r="BY96" i="1" s="1"/>
  <c r="CD96" i="1"/>
  <c r="BH87" i="1"/>
  <c r="C119" i="2" l="1"/>
  <c r="C121" i="2" s="1"/>
  <c r="C122" i="2" s="1"/>
  <c r="F81" i="25"/>
  <c r="F103" i="25"/>
  <c r="F81" i="22"/>
  <c r="F81" i="24"/>
  <c r="F103" i="24"/>
  <c r="F81" i="23"/>
  <c r="F103" i="23"/>
  <c r="F104" i="21"/>
  <c r="BH86" i="1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09" i="2"/>
  <c r="F81" i="10"/>
  <c r="M81" i="2"/>
  <c r="F100" i="10"/>
  <c r="F77" i="2"/>
  <c r="M105" i="10"/>
  <c r="F103" i="2"/>
  <c r="H32" i="2"/>
  <c r="BR87" i="1" s="1"/>
  <c r="H33" i="2"/>
  <c r="BS87" i="1" s="1"/>
  <c r="H31" i="2"/>
  <c r="BQ87" i="1" s="1"/>
  <c r="BP87" i="1"/>
  <c r="M83" i="2"/>
  <c r="F109" i="2"/>
  <c r="F10" i="2"/>
  <c r="F81" i="2" s="1"/>
  <c r="BP86" i="1" l="1"/>
  <c r="BL86" i="1" s="1"/>
  <c r="BN87" i="1"/>
  <c r="BM87" i="1"/>
  <c r="C124" i="2"/>
  <c r="C126" i="2" s="1"/>
  <c r="BS86" i="1"/>
  <c r="W31" i="1" s="1"/>
  <c r="BR86" i="1"/>
  <c r="W30" i="1" s="1"/>
  <c r="BL87" i="1"/>
  <c r="BQ86" i="1"/>
  <c r="BM86" i="1" s="1"/>
  <c r="F106" i="2"/>
  <c r="M25" i="10" l="1"/>
  <c r="M27" i="10" s="1"/>
  <c r="AL94" i="1" s="1"/>
  <c r="W29" i="1"/>
  <c r="BN86" i="1"/>
  <c r="C129" i="2" l="1"/>
  <c r="C130" i="2" s="1"/>
  <c r="C132" i="2" s="1"/>
  <c r="C134" i="2" s="1"/>
  <c r="H29" i="10"/>
  <c r="M29" i="10" s="1"/>
  <c r="L35" i="10" s="1"/>
  <c r="AN94" i="1" s="1"/>
  <c r="M25" i="2"/>
  <c r="M27" i="2" s="1"/>
  <c r="AL87" i="1" s="1"/>
  <c r="AG86" i="1" s="1"/>
  <c r="AG95" i="1" s="1"/>
  <c r="C137" i="2" l="1"/>
  <c r="C138" i="2" s="1"/>
  <c r="H29" i="2"/>
  <c r="M29" i="2" s="1"/>
  <c r="L35" i="2" s="1"/>
  <c r="AN87" i="1" s="1"/>
  <c r="AN86" i="1" s="1"/>
  <c r="C140" i="2" l="1"/>
  <c r="C141" i="2" s="1"/>
  <c r="BO87" i="1"/>
  <c r="AN95" i="1" l="1"/>
  <c r="BK87" i="1"/>
  <c r="C144" i="2"/>
  <c r="C146" i="2" s="1"/>
  <c r="C149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BI87" i="1"/>
  <c r="AA114" i="2"/>
  <c r="AA113" i="2" s="1"/>
  <c r="AA112" i="2" s="1"/>
  <c r="AA125" i="2"/>
  <c r="AA123" i="2"/>
  <c r="AA120" i="2"/>
  <c r="Y114" i="2" l="1"/>
  <c r="Y113" i="2" s="1"/>
  <c r="Y112" i="2" s="1"/>
  <c r="Y123" i="2"/>
  <c r="Y125" i="2"/>
  <c r="Y120" i="2"/>
  <c r="W114" i="2"/>
  <c r="W113" i="2" s="1"/>
  <c r="W112" i="2" s="1"/>
  <c r="W125" i="2"/>
  <c r="W120" i="2"/>
  <c r="W123" i="2"/>
</calcChain>
</file>

<file path=xl/sharedStrings.xml><?xml version="1.0" encoding="utf-8"?>
<sst xmlns="http://schemas.openxmlformats.org/spreadsheetml/2006/main" count="1252" uniqueCount="251">
  <si>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</si>
  <si>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</si>
  <si>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</si>
  <si>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</si>
  <si>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</si>
  <si>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</si>
  <si>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</si>
  <si>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</si>
  <si>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</si>
  <si>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</si>
  <si>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</si>
  <si>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</si>
  <si>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</si>
  <si>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</si>
  <si>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</si>
  <si>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</si>
  <si>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</si>
  <si>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</si>
  <si>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</si>
  <si>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</si>
  <si>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</si>
  <si>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</si>
  <si>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</si>
  <si>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</si>
  <si>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</si>
  <si>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</si>
  <si>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</si>
  <si>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</si>
  <si>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</si>
  <si>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</si>
  <si>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</si>
  <si>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</si>
  <si>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</si>
  <si>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</si>
  <si>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</si>
  <si>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</si>
  <si>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</si>
  <si>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</si>
  <si>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</si>
  <si>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</si>
  <si>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</si>
  <si>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</si>
  <si>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</si>
  <si>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</si>
  <si>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</si>
  <si>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</si>
  <si>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</si>
  <si>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</si>
  <si>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</si>
  <si>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</si>
  <si>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</si>
  <si>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</si>
  <si>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</si>
  <si>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</si>
  <si>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</si>
  <si>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</si>
  <si>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</si>
  <si>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</si>
  <si>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</si>
  <si>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</si>
  <si>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</si>
  <si>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</si>
  <si>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</si>
  <si>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</si>
  <si>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</si>
  <si>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</si>
  <si>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</si>
  <si>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</si>
  <si>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</si>
  <si>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</si>
  <si>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</si>
  <si>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</si>
  <si>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</si>
  <si>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</si>
  <si>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</si>
  <si>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</si>
  <si>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</si>
  <si>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</si>
  <si>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</si>
  <si>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</si>
  <si>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</si>
  <si>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</si>
  <si>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</si>
  <si>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</si>
  <si>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</si>
  <si>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</si>
  <si>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</si>
  <si>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</si>
  <si>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</si>
  <si>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</si>
  <si>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</si>
  <si>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</si>
  <si>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</si>
  <si>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</si>
  <si>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</si>
  <si>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</si>
  <si>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</si>
  <si>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</si>
  <si>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</si>
  <si>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</si>
  <si>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</si>
  <si>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</si>
  <si>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</si>
  <si>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</si>
  <si>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</si>
  <si>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</si>
  <si>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</si>
  <si>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</si>
  <si>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</si>
  <si>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</si>
  <si>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</si>
  <si>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</si>
  <si>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</si>
  <si>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</si>
  <si>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</si>
  <si>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</si>
  <si>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</si>
  <si>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</si>
  <si>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</si>
  <si>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</si>
  <si>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</si>
  <si>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</si>
  <si>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</si>
  <si>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</si>
  <si>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</si>
  <si>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</si>
  <si>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</si>
  <si>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</si>
  <si>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</si>
  <si>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</si>
  <si>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</si>
  <si>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</si>
  <si>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</si>
  <si>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</si>
  <si>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</si>
  <si>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</si>
  <si>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</si>
  <si>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</si>
  <si>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</si>
  <si>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</si>
  <si>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</si>
  <si>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</si>
  <si>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</si>
  <si>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</si>
  <si>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</si>
  <si>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</si>
  <si>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</si>
  <si>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</si>
  <si>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</si>
  <si>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</si>
  <si>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</si>
  <si>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</si>
  <si>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</si>
  <si>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</si>
  <si>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</si>
  <si>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</si>
  <si>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</si>
  <si>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</si>
  <si>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</si>
  <si>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</si>
  <si>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</si>
  <si>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</si>
  <si>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</si>
  <si>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</si>
  <si>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</si>
  <si>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</si>
  <si>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</si>
  <si>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</si>
  <si>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ČEPRO, a.s.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</si>
  <si>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</si>
  <si>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</si>
  <si>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</si>
  <si>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</si>
  <si>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</si>
  <si>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</si>
  <si>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</si>
  <si>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</si>
  <si>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</si>
  <si>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</si>
  <si>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</si>
  <si>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</si>
  <si>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</si>
  <si>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Vodiče NN a VN (např. CYA) určené pro pospojování a zemnění; dle požadavku projektu; včetně montáže, uložení a zapojení</t>
  </si>
  <si>
    <t>Vytvoření elektronické zabezpečovací služby (EZS)</t>
  </si>
  <si>
    <t>Vytvoření systému osvětlení nově budované pozemní FVE</t>
  </si>
  <si>
    <t xml:space="preserve"> 01 - EZS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</si>
  <si>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</si>
  <si>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</si>
  <si>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</si>
  <si>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</si>
  <si>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</si>
  <si>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</si>
  <si>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</si>
  <si>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</si>
  <si>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</si>
  <si>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</si>
  <si>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</si>
  <si>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</si>
  <si>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</si>
  <si>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</si>
  <si>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</si>
  <si>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</si>
  <si>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</si>
  <si>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</si>
  <si>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</si>
  <si>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</si>
  <si>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</si>
  <si>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</si>
  <si>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</si>
  <si>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</si>
  <si>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Vytvoření efektivního propojení se stávající EZS areálu, včetně práce, veskerého materiálu, elektroinstalaci a vytvoření IT sítí. </t>
  </si>
  <si>
    <t xml:space="preserve">Hloubení kabelových rýh dle PD, včetně techniky a práce </t>
  </si>
  <si>
    <t>Fotovoltaický panel 545 Wp, maximální výkon 545 Wp (za STC), nominální účinnost 21,10 %, monokrystalický, rozměr 2 278 x 1 134 x 35 mm, včetně montáže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</si>
  <si>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</si>
  <si>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</si>
  <si>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</si>
  <si>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>Uložení kabelových vedení v ochranných trubkách dle PD, včetně práce, materiálu a instalace dle platných předpisů a ČSN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</si>
  <si>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</si>
  <si>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</si>
  <si>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</si>
  <si>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</si>
  <si>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</si>
  <si>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Silové kabely AC do 35kV dle PD, včetně montáže (zapojení a uložení) a vedení do místa připojení</t>
  </si>
  <si>
    <t>Zajištění činnosti odborného technického dozoru stavby (TDI)</t>
  </si>
  <si>
    <t>Zajištění činnosti autorského dozoru projektanta stavby (ADP)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</si>
  <si>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</si>
  <si>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t>Umístění nové prefabrikované trafostanice o výkonu 1 000 kVA, včetně vybavení</t>
  </si>
  <si>
    <t>Vytvoření jednotlivých hlavních ochranných přípojnic MET pro jednotlivé hnízda FVE, včetně jejich osazení vybavení a dopojení na nově budovanou zemnící soustavu</t>
  </si>
  <si>
    <t>Trafostanice s možností osazení transformátoru do 1 000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1 000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</si>
  <si>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>Rozvaděče RDC pro jednotlivé části FVE (nástěnné – skříňové); krytí IP66, včetně montáže, usazení, oživení a výstroje dle PD</t>
  </si>
  <si>
    <t>Pozemní konstrukce fotovoltaických panelů, v provedení dle projektové dokumentace (konstrukce se sklonem 10°); konstrukce musí umožnovat instalaci optimizérů (odstupové vzdálenosti dle instalačního manuálu optimizérů)</t>
  </si>
  <si>
    <t xml:space="preserve"> 01 - Práce</t>
  </si>
  <si>
    <t xml:space="preserve"> 01 - Vyvyšení místa instalace  </t>
  </si>
  <si>
    <t>Úprava terénu zájmového uzemí pro umístění (vyvýšení) nově instalované TS dle PD, včetně materiálu pro dodatečné dorovnání a práce</t>
  </si>
  <si>
    <t>Instalace nové fotovoltaické elektrárny s výkonem 991,9 kWp v areálu Litvínov společnosti ČEPRO, a.s.</t>
  </si>
  <si>
    <t>Litvínov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</si>
  <si>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991,9 kWp v areálu Litvínov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</si>
  <si>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Instalace pozemní FVE o výkonu 991,9 kWp na pozemcích v areálu p. č. 467/4; p. č. 467/13; p. č. 449/2 a p. č. st. 220</t>
  </si>
  <si>
    <t>Oplocení včetně vrat a elektronické zabezpečovací služby a osvětlení</t>
  </si>
  <si>
    <t>Vytvoření oplocení nově budované pozemnní FVE</t>
  </si>
  <si>
    <t xml:space="preserve"> 01 - Oplocení nové pozemní FVE</t>
  </si>
  <si>
    <t xml:space="preserve">Vytvoření nového oplocení pozemní FV elektrárny dle PD, včetně práce, veškerého materiálů, napínacích prvků, včetně ostnatého drátu, zabetonování jednotlivých sloupků a montažních prací </t>
  </si>
  <si>
    <t xml:space="preserve">Vytvoření přistupových bodu do prostoru FVE dle PD, v podobě motorizovaných vrat, včetně veškerého materiálu, motorového pohonu, souvisejicích prací, připojení EE a montažních prací </t>
  </si>
  <si>
    <t xml:space="preserve">Zásyp kabelových rýh, včetně práce, zhutnění a navracení  povrchu do původního stavu </t>
  </si>
  <si>
    <t>Zajištění bezpečnosti práce na stavbě</t>
  </si>
  <si>
    <t>Úprava terénu zájmového uzemí do základní nivelety s odkopem prostřednictvím adekvátní techniky (např. GRADER) dle PD, včetně práce a uskladnění bez zatížení odpadním materiálem, včetně materiálu pro dodatečné dorovnání a práce</t>
  </si>
  <si>
    <t>05 - Úprava stávajícího VN rozvaděče</t>
  </si>
  <si>
    <t>Úprava stávajícího VN rozvaděče areálu, dle platných předpisů, legislativy a ČSN, včetně elektroinstalace, materialu a práce</t>
  </si>
  <si>
    <t>Komplexní řídící systém, včetně softwarové platformy zobrazujicí hospodaření s elektřinou, s možností ukládání dat, instalaci PLC jednotky s vizualizací, dopojení a vytvoření nových datových rozvodů (separatní připojení k internetu - po konsultaci se zákazníkem), instalace rozvaděčů MaR, včeně vyzbrojení, osazení potřebných elektroměrů, včetně práce</t>
  </si>
  <si>
    <t>Doplnění stávající zapezpečovací elektronické služby dle PD a požadavků ČEPRO, a.s., v podobě instalace kamerového systému pro prostor FVE na stožárech osvětlení a reproduktorů, včetně práce, veškerého materiálu, elektroinstalaci.</t>
  </si>
  <si>
    <t xml:space="preserve">Vybudování nového osvětlení prostoru FVE dle PD, včetně práce, věškerého materiálu, stožárů, elektroinstalací a dopojení na přívod EE.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</si>
</sst>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10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28" fillId="0" borderId="24" xfId="6" applyFont="1" applyBorder="1" applyAlignment="1">
      <alignment horizontal="center" vertical="center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justify" vertical="center" wrapText="1"/>
    </xf>
    <xf numFmtId="0" fontId="23" fillId="0" borderId="0" xfId="0" applyFont="1" applyAlignment="1" applyProtection="1">
      <alignment horizontal="justify"/>
    </xf>
    <xf numFmtId="0" fontId="45" fillId="0" borderId="0" xfId="0" applyFont="1" applyAlignment="1" applyProtection="1">
      <alignment horizontal="justify" vertical="center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left" vertical="center"/>
    </xf>
    <xf numFmtId="0" fontId="6" fillId="4" borderId="9" xfId="0" applyFont="1" applyFill="1" applyBorder="1" applyAlignment="1" applyProtection="1">
      <alignment horizontal="center" vertical="center"/>
    </xf>
    <xf numFmtId="39" fontId="7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164" fontId="12" fillId="0" borderId="0" xfId="0" applyNumberFormat="1" applyFont="1" applyAlignment="1" applyProtection="1">
      <alignment horizontal="righ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33" fillId="4" borderId="0" xfId="0" applyFont="1" applyFill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40" fillId="0" borderId="0" xfId="0" applyFont="1" applyAlignment="1" applyProtection="1">
      <alignment horizontal="left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39" fontId="24" fillId="0" borderId="11" xfId="0" applyNumberFormat="1" applyFont="1" applyBorder="1" applyAlignment="1" applyProtection="1">
      <alignment horizontal="right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39" fontId="23" fillId="0" borderId="16" xfId="0" applyNumberFormat="1" applyFont="1" applyBorder="1" applyAlignment="1" applyProtection="1">
      <alignment horizontal="right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39" fontId="23" fillId="0" borderId="22" xfId="0" applyNumberFormat="1" applyFont="1" applyBorder="1" applyAlignment="1" applyProtection="1">
      <alignment horizontal="right"/>
    </xf>
    <xf numFmtId="0" fontId="44" fillId="0" borderId="36" xfId="0" applyFont="1" applyBorder="1" applyAlignment="1" applyProtection="1">
      <alignment vertical="center" wrapText="1"/>
    </xf>
    <xf numFmtId="0" fontId="44" fillId="0" borderId="37" xfId="0" applyFont="1" applyBorder="1" applyAlignment="1" applyProtection="1">
      <alignment vertical="center" wrapText="1"/>
    </xf>
    <xf numFmtId="0" fontId="44" fillId="0" borderId="38" xfId="0" applyFont="1" applyBorder="1" applyAlignment="1" applyProtection="1">
      <alignment vertical="center" wrapText="1"/>
    </xf>
    <xf numFmtId="39" fontId="23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39" fillId="2" borderId="0" xfId="2" applyFont="1" applyFill="1" applyAlignment="1" applyProtection="1">
      <alignment horizontal="center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0" fontId="29" fillId="0" borderId="24" xfId="9" applyBorder="1" applyAlignment="1" applyProtection="1">
      <alignment vertical="center" wrapText="1"/>
    </xf>
    <xf numFmtId="0" fontId="29" fillId="0" borderId="24" xfId="9" applyBorder="1" applyAlignment="1" applyProtection="1">
      <alignment vertical="center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0" borderId="36" xfId="0" applyFont="1" applyBorder="1" applyAlignment="1" applyProtection="1">
      <alignment horizontal="justify" vertical="center"/>
    </xf>
    <xf numFmtId="0" fontId="44" fillId="0" borderId="37" xfId="0" applyFont="1" applyBorder="1" applyAlignment="1" applyProtection="1">
      <alignment horizontal="justify" vertical="center"/>
    </xf>
    <xf numFmtId="0" fontId="44" fillId="0" borderId="38" xfId="0" applyFont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0" borderId="21" xfId="0" applyFont="1" applyBorder="1" applyAlignment="1" applyProtection="1">
      <alignment horizontal="justify" vertical="center" wrapText="1"/>
    </xf>
    <xf numFmtId="0" fontId="29" fillId="0" borderId="22" xfId="0" applyFont="1" applyBorder="1" applyAlignment="1" applyProtection="1">
      <alignment horizontal="justify" vertical="center" wrapText="1"/>
    </xf>
    <xf numFmtId="0" fontId="29" fillId="0" borderId="23" xfId="0" applyFont="1" applyBorder="1" applyAlignment="1" applyProtection="1">
      <alignment horizontal="justify" vertical="center" wrapText="1"/>
    </xf>
    <xf numFmtId="0" fontId="2" fillId="4" borderId="0" xfId="0" applyFont="1" applyFill="1" applyAlignment="1" applyProtection="1">
      <alignment horizontal="center" vertical="center"/>
    </xf>
    <xf numFmtId="39" fontId="0" fillId="3" borderId="32" xfId="0" applyNumberFormat="1" applyFill="1" applyBorder="1" applyAlignment="1">
      <alignment horizontal="righ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29" fillId="0" borderId="32" xfId="9" applyBorder="1" applyAlignment="1" applyProtection="1">
      <alignment horizontal="justify" vertical="center" wrapText="1"/>
    </xf>
    <xf numFmtId="0" fontId="29" fillId="0" borderId="32" xfId="9" applyBorder="1" applyAlignment="1" applyProtection="1">
      <alignment horizontal="justify" vertical="center"/>
    </xf>
    <xf numFmtId="0" fontId="6" fillId="4" borderId="0" xfId="0" applyFont="1" applyFill="1" applyAlignment="1" applyProtection="1">
      <alignment horizontal="right" vertical="center"/>
    </xf>
    <xf numFmtId="0" fontId="29" fillId="0" borderId="32" xfId="0" applyFont="1" applyBorder="1" applyAlignment="1" applyProtection="1">
      <alignment horizontal="justify" vertical="center" wrapText="1"/>
    </xf>
    <xf numFmtId="0" fontId="0" fillId="0" borderId="32" xfId="0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39" fontId="17" fillId="0" borderId="11" xfId="0" applyNumberFormat="1" applyFon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left" vertical="center" wrapText="1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0D740F3-D6F5-439E-A855-CD0E257547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OBCHOD\2022\93_&#268;EPRO_DPS_projekce\Pot&#283;hy_DPS_hotovo\Polo&#382;kov&#253;%20slep&#253;%20rozpo&#269;et_POT&#282;HY_rev1.xlsx" TargetMode="External"/><Relationship Id="rId1" Type="http://schemas.openxmlformats.org/officeDocument/2006/relationships/externalLinkPath" Target="/OBCHOD/2022/93_&#268;EPRO_DPS_projekce/Pot&#283;hy_DPS_hotovo/Polo&#382;kov&#253;%20slep&#253;%20rozpo&#269;et_POT&#282;HY_re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SO01"/>
      <sheetName val="SO02"/>
      <sheetName val="SO03"/>
      <sheetName val="SO04"/>
      <sheetName val="IO01"/>
      <sheetName val="IO02"/>
      <sheetName val="IO03"/>
      <sheetName val="VN + 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0"/>
  <sheetViews>
    <sheetView showGridLines="0" tabSelected="1" zoomScaleNormal="100" zoomScaleSheetLayoutView="100" workbookViewId="0">
      <pane ySplit="1" topLeftCell="A94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14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R2" s="220" t="s">
        <v>3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07" t="s">
        <v>7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9" t="s">
        <v>117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Q5" s="12"/>
      <c r="BE5" s="227" t="s">
        <v>115</v>
      </c>
      <c r="BS5" s="7" t="s">
        <v>4</v>
      </c>
    </row>
    <row r="6" spans="1:73" ht="37.5" customHeight="1" x14ac:dyDescent="0.3">
      <c r="B6" s="11"/>
      <c r="D6" s="17" t="s">
        <v>12</v>
      </c>
      <c r="K6" s="228" t="s">
        <v>234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Q6" s="12"/>
      <c r="BE6" s="215"/>
      <c r="BS6" s="7" t="s">
        <v>4</v>
      </c>
    </row>
    <row r="7" spans="1:73" ht="15" customHeight="1" x14ac:dyDescent="0.3">
      <c r="B7" s="11"/>
      <c r="D7" s="18" t="s">
        <v>13</v>
      </c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18" t="s">
        <v>14</v>
      </c>
      <c r="AN7" s="16"/>
      <c r="AQ7" s="12"/>
      <c r="BE7" s="215"/>
      <c r="BS7" s="7" t="s">
        <v>4</v>
      </c>
    </row>
    <row r="8" spans="1:73" ht="15" customHeight="1" x14ac:dyDescent="0.3">
      <c r="B8" s="11"/>
      <c r="D8" s="18" t="s">
        <v>15</v>
      </c>
      <c r="K8" s="219" t="s">
        <v>235</v>
      </c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18" t="s">
        <v>16</v>
      </c>
      <c r="AN8" s="106">
        <f ca="1">TODAY()</f>
        <v>45238</v>
      </c>
      <c r="AQ8" s="12"/>
      <c r="BE8" s="215"/>
      <c r="BS8" s="7" t="s">
        <v>4</v>
      </c>
    </row>
    <row r="9" spans="1:73" ht="15" customHeight="1" x14ac:dyDescent="0.3">
      <c r="B9" s="11"/>
      <c r="AQ9" s="12"/>
      <c r="BE9" s="215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15"/>
      <c r="BS10" s="7" t="s">
        <v>4</v>
      </c>
    </row>
    <row r="11" spans="1:73" ht="19.5" customHeight="1" x14ac:dyDescent="0.3">
      <c r="B11" s="11"/>
      <c r="E11" s="219" t="s">
        <v>168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18" t="s">
        <v>19</v>
      </c>
      <c r="AN11" s="16" t="s">
        <v>191</v>
      </c>
      <c r="AQ11" s="12"/>
      <c r="BE11" s="215"/>
      <c r="BS11" s="7" t="s">
        <v>4</v>
      </c>
    </row>
    <row r="12" spans="1:73" ht="7.5" customHeight="1" x14ac:dyDescent="0.3">
      <c r="B12" s="11"/>
      <c r="AQ12" s="12"/>
      <c r="BE12" s="215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0" t="s">
        <v>21</v>
      </c>
      <c r="AQ13" s="12"/>
      <c r="BE13" s="215"/>
      <c r="BS13" s="7" t="s">
        <v>4</v>
      </c>
    </row>
    <row r="14" spans="1:73" ht="15.75" customHeight="1" x14ac:dyDescent="0.3">
      <c r="B14" s="11"/>
      <c r="E14" s="216" t="s">
        <v>21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18" t="s">
        <v>19</v>
      </c>
      <c r="AN14" s="170" t="s">
        <v>21</v>
      </c>
      <c r="AQ14" s="12"/>
      <c r="BE14" s="215"/>
      <c r="BS14" s="7" t="s">
        <v>4</v>
      </c>
    </row>
    <row r="15" spans="1:73" ht="7.5" customHeight="1" x14ac:dyDescent="0.3">
      <c r="B15" s="11"/>
      <c r="AQ15" s="12"/>
      <c r="BE15" s="215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136</v>
      </c>
      <c r="AQ16" s="12"/>
      <c r="BE16" s="215"/>
      <c r="BS16" s="7" t="s">
        <v>2</v>
      </c>
    </row>
    <row r="17" spans="2:71" ht="19.5" customHeight="1" x14ac:dyDescent="0.3">
      <c r="B17" s="11"/>
      <c r="E17" s="219" t="s">
        <v>134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18" t="s">
        <v>19</v>
      </c>
      <c r="AN17" s="16" t="s">
        <v>135</v>
      </c>
      <c r="AQ17" s="12"/>
      <c r="BE17" s="215"/>
      <c r="BS17" s="7" t="s">
        <v>2</v>
      </c>
    </row>
    <row r="18" spans="2:71" ht="7.5" customHeight="1" x14ac:dyDescent="0.3">
      <c r="B18" s="11"/>
      <c r="AQ18" s="12"/>
      <c r="BE18" s="215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136</v>
      </c>
      <c r="AQ19" s="12"/>
      <c r="BE19" s="215"/>
      <c r="BS19" s="7" t="s">
        <v>4</v>
      </c>
    </row>
    <row r="20" spans="2:71" ht="19.5" customHeight="1" x14ac:dyDescent="0.3">
      <c r="B20" s="11"/>
      <c r="E20" s="219" t="s">
        <v>134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  <c r="AK20" s="18" t="s">
        <v>19</v>
      </c>
      <c r="AN20" s="16" t="s">
        <v>135</v>
      </c>
      <c r="AQ20" s="12"/>
      <c r="BE20" s="215"/>
    </row>
    <row r="21" spans="2:71" ht="7.5" customHeight="1" x14ac:dyDescent="0.3">
      <c r="B21" s="11"/>
      <c r="AQ21" s="12"/>
      <c r="BE21" s="215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15"/>
    </row>
    <row r="23" spans="2:71" ht="15" customHeight="1" x14ac:dyDescent="0.3">
      <c r="B23" s="11"/>
      <c r="D23" s="20" t="s">
        <v>24</v>
      </c>
      <c r="AK23" s="218">
        <f>ROUND($AG$86,2)</f>
        <v>0</v>
      </c>
      <c r="AL23" s="215"/>
      <c r="AM23" s="215"/>
      <c r="AN23" s="215"/>
      <c r="AO23" s="215"/>
      <c r="AQ23" s="12"/>
      <c r="BE23" s="215"/>
    </row>
    <row r="24" spans="2:71" s="7" customFormat="1" ht="7.5" customHeight="1" x14ac:dyDescent="0.3">
      <c r="B24" s="21"/>
      <c r="AQ24" s="22"/>
      <c r="BE24" s="208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32">
        <f>ROUND($AK$23,2)</f>
        <v>0</v>
      </c>
      <c r="AL25" s="233"/>
      <c r="AM25" s="233"/>
      <c r="AN25" s="233"/>
      <c r="AO25" s="233"/>
      <c r="AQ25" s="22"/>
      <c r="BE25" s="208"/>
    </row>
    <row r="26" spans="2:71" s="7" customFormat="1" ht="7.5" customHeight="1" x14ac:dyDescent="0.3">
      <c r="B26" s="21"/>
      <c r="AQ26" s="22"/>
      <c r="BE26" s="208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09">
        <v>0.21</v>
      </c>
      <c r="M27" s="206"/>
      <c r="N27" s="206"/>
      <c r="O27" s="206"/>
      <c r="T27" s="27" t="s">
        <v>28</v>
      </c>
      <c r="W27" s="205">
        <f>AK25</f>
        <v>0</v>
      </c>
      <c r="X27" s="206"/>
      <c r="Y27" s="206"/>
      <c r="Z27" s="206"/>
      <c r="AA27" s="206"/>
      <c r="AB27" s="206"/>
      <c r="AC27" s="206"/>
      <c r="AD27" s="206"/>
      <c r="AE27" s="206"/>
      <c r="AK27" s="205">
        <f>L27*W27</f>
        <v>0</v>
      </c>
      <c r="AL27" s="206"/>
      <c r="AM27" s="206"/>
      <c r="AN27" s="206"/>
      <c r="AO27" s="206"/>
      <c r="AQ27" s="28"/>
      <c r="BE27" s="206"/>
    </row>
    <row r="28" spans="2:71" s="7" customFormat="1" ht="15" customHeight="1" x14ac:dyDescent="0.3">
      <c r="B28" s="25"/>
      <c r="F28" s="26" t="s">
        <v>29</v>
      </c>
      <c r="L28" s="209">
        <v>0.15</v>
      </c>
      <c r="M28" s="206"/>
      <c r="N28" s="206"/>
      <c r="O28" s="206"/>
      <c r="T28" s="27" t="s">
        <v>28</v>
      </c>
      <c r="W28" s="205">
        <v>0</v>
      </c>
      <c r="X28" s="206"/>
      <c r="Y28" s="206"/>
      <c r="Z28" s="206"/>
      <c r="AA28" s="206"/>
      <c r="AB28" s="206"/>
      <c r="AC28" s="206"/>
      <c r="AD28" s="206"/>
      <c r="AE28" s="206"/>
      <c r="AK28" s="205">
        <v>0</v>
      </c>
      <c r="AL28" s="206"/>
      <c r="AM28" s="206"/>
      <c r="AN28" s="206"/>
      <c r="AO28" s="206"/>
      <c r="AQ28" s="28"/>
      <c r="BE28" s="206"/>
    </row>
    <row r="29" spans="2:71" s="7" customFormat="1" ht="15" hidden="1" customHeight="1" x14ac:dyDescent="0.3">
      <c r="B29" s="25"/>
      <c r="F29" s="26" t="s">
        <v>30</v>
      </c>
      <c r="L29" s="209">
        <v>0.21</v>
      </c>
      <c r="M29" s="206"/>
      <c r="N29" s="206"/>
      <c r="O29" s="206"/>
      <c r="T29" s="27" t="s">
        <v>28</v>
      </c>
      <c r="W29" s="205" t="e">
        <f>ROUND($BQ$86+SUM($CF$95:$CF$98),2)</f>
        <v>#REF!</v>
      </c>
      <c r="X29" s="206"/>
      <c r="Y29" s="206"/>
      <c r="Z29" s="206"/>
      <c r="AA29" s="206"/>
      <c r="AB29" s="206"/>
      <c r="AC29" s="206"/>
      <c r="AD29" s="206"/>
      <c r="AE29" s="206"/>
      <c r="AK29" s="205">
        <v>0</v>
      </c>
      <c r="AL29" s="206"/>
      <c r="AM29" s="206"/>
      <c r="AN29" s="206"/>
      <c r="AO29" s="206"/>
      <c r="AQ29" s="28"/>
      <c r="BE29" s="206"/>
    </row>
    <row r="30" spans="2:71" s="7" customFormat="1" ht="15" hidden="1" customHeight="1" x14ac:dyDescent="0.3">
      <c r="B30" s="25"/>
      <c r="F30" s="26" t="s">
        <v>31</v>
      </c>
      <c r="L30" s="209">
        <v>0.15</v>
      </c>
      <c r="M30" s="206"/>
      <c r="N30" s="206"/>
      <c r="O30" s="206"/>
      <c r="T30" s="27" t="s">
        <v>28</v>
      </c>
      <c r="W30" s="205" t="e">
        <f>ROUND($BR$86+SUM($CG$95:$CG$98),2)</f>
        <v>#REF!</v>
      </c>
      <c r="X30" s="206"/>
      <c r="Y30" s="206"/>
      <c r="Z30" s="206"/>
      <c r="AA30" s="206"/>
      <c r="AB30" s="206"/>
      <c r="AC30" s="206"/>
      <c r="AD30" s="206"/>
      <c r="AE30" s="206"/>
      <c r="AK30" s="205">
        <v>0</v>
      </c>
      <c r="AL30" s="206"/>
      <c r="AM30" s="206"/>
      <c r="AN30" s="206"/>
      <c r="AO30" s="206"/>
      <c r="AQ30" s="28"/>
      <c r="BE30" s="206"/>
    </row>
    <row r="31" spans="2:71" s="7" customFormat="1" ht="15" hidden="1" customHeight="1" x14ac:dyDescent="0.3">
      <c r="B31" s="25"/>
      <c r="F31" s="26" t="s">
        <v>32</v>
      </c>
      <c r="L31" s="209">
        <v>0</v>
      </c>
      <c r="M31" s="206"/>
      <c r="N31" s="206"/>
      <c r="O31" s="206"/>
      <c r="T31" s="27" t="s">
        <v>28</v>
      </c>
      <c r="W31" s="205" t="e">
        <f>ROUND($BS$86+SUM($CH$95:$CH$98),2)</f>
        <v>#REF!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Q31" s="28"/>
      <c r="BE31" s="206"/>
    </row>
    <row r="32" spans="2:71" s="7" customFormat="1" ht="7.5" customHeight="1" x14ac:dyDescent="0.3">
      <c r="B32" s="21"/>
      <c r="AQ32" s="22"/>
      <c r="BE32" s="208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9" t="s">
        <v>35</v>
      </c>
      <c r="Y33" s="203"/>
      <c r="Z33" s="203"/>
      <c r="AA33" s="203"/>
      <c r="AB33" s="203"/>
      <c r="AC33" s="31"/>
      <c r="AD33" s="31"/>
      <c r="AE33" s="31"/>
      <c r="AF33" s="31"/>
      <c r="AG33" s="31"/>
      <c r="AH33" s="31"/>
      <c r="AI33" s="31"/>
      <c r="AJ33" s="31"/>
      <c r="AK33" s="230">
        <f>ROUND(SUM($AK$25:$AK$31),2)</f>
        <v>0</v>
      </c>
      <c r="AL33" s="203"/>
      <c r="AM33" s="203"/>
      <c r="AN33" s="203"/>
      <c r="AO33" s="231"/>
      <c r="AP33" s="29"/>
      <c r="AQ33" s="22"/>
      <c r="BE33" s="208"/>
    </row>
    <row r="34" spans="2:57" s="7" customFormat="1" ht="15" customHeight="1" x14ac:dyDescent="0.3">
      <c r="B34" s="21"/>
      <c r="D34" s="210" t="s">
        <v>236</v>
      </c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Q34" s="22"/>
    </row>
    <row r="35" spans="2:57" ht="14.25" customHeight="1" x14ac:dyDescent="0.3">
      <c r="B35" s="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Q35" s="12"/>
    </row>
    <row r="36" spans="2:57" ht="14.25" customHeight="1" x14ac:dyDescent="0.3">
      <c r="B36" s="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Q36" s="12"/>
    </row>
    <row r="37" spans="2:57" ht="14.25" customHeight="1" x14ac:dyDescent="0.3">
      <c r="B37" s="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Q37" s="12"/>
    </row>
    <row r="38" spans="2:57" ht="14.25" customHeight="1" x14ac:dyDescent="0.3">
      <c r="B38" s="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Q38" s="12"/>
    </row>
    <row r="39" spans="2:57" ht="14.25" customHeight="1" x14ac:dyDescent="0.3">
      <c r="B39" s="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Q39" s="12"/>
    </row>
    <row r="40" spans="2:57" ht="14.25" customHeight="1" x14ac:dyDescent="0.3">
      <c r="B40" s="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Q40" s="12"/>
    </row>
    <row r="41" spans="2:57" ht="14.25" customHeight="1" x14ac:dyDescent="0.3">
      <c r="B41" s="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Q41" s="12"/>
    </row>
    <row r="42" spans="2:57" ht="14.25" customHeight="1" x14ac:dyDescent="0.3">
      <c r="B42" s="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Q42" s="12"/>
    </row>
    <row r="43" spans="2:57" ht="14.25" customHeight="1" x14ac:dyDescent="0.3">
      <c r="B43" s="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Q43" s="12"/>
    </row>
    <row r="44" spans="2:57" ht="14.25" customHeight="1" x14ac:dyDescent="0.3">
      <c r="B44" s="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Q44" s="12"/>
    </row>
    <row r="45" spans="2:57" ht="14.25" customHeight="1" x14ac:dyDescent="0.3">
      <c r="B45" s="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Q45" s="12"/>
    </row>
    <row r="46" spans="2:57" ht="14.25" customHeight="1" x14ac:dyDescent="0.3">
      <c r="B46" s="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Q46" s="12"/>
    </row>
    <row r="47" spans="2:57" ht="14.25" customHeight="1" x14ac:dyDescent="0.3">
      <c r="B47" s="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07" t="s">
        <v>42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/>
      <c r="AF75" s="208"/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34" t="str">
        <f>$K$6</f>
        <v>Instalace nové fotovoltaické elektrárny s výkonem 991,9 kWp v areálu Litvínov společnosti ČEPRO, a.s.</v>
      </c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36" t="str">
        <f>IF($K$8="","",$K$8)</f>
        <v>Litvínov</v>
      </c>
      <c r="M79" s="236"/>
      <c r="N79" s="236"/>
      <c r="O79" s="236"/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Z79" s="236"/>
      <c r="AA79" s="236"/>
      <c r="AB79" s="236"/>
      <c r="AC79" s="236"/>
      <c r="AD79" s="236"/>
      <c r="AE79" s="236"/>
      <c r="AF79" s="236"/>
      <c r="AG79" s="236"/>
      <c r="AI79" s="18" t="s">
        <v>16</v>
      </c>
      <c r="AM79" s="235">
        <f ca="1">IF($AN$8="","",$AN$8)</f>
        <v>45238</v>
      </c>
      <c r="AN79" s="235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9" t="str">
        <f>IF($E$17="","",$E$17)</f>
        <v>YOUNG4ENERGY s.r.o.</v>
      </c>
      <c r="AN81" s="208"/>
      <c r="AO81" s="208"/>
      <c r="AP81" s="208"/>
      <c r="AQ81" s="22"/>
      <c r="BH81" s="221" t="s">
        <v>43</v>
      </c>
      <c r="BI81" s="222"/>
      <c r="BJ81" s="222"/>
      <c r="BK81" s="222"/>
      <c r="BL81" s="222"/>
      <c r="BM81" s="222"/>
      <c r="BN81" s="222"/>
      <c r="BO81" s="222"/>
      <c r="BP81" s="222"/>
      <c r="BQ81" s="222"/>
      <c r="BR81" s="222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9" t="str">
        <f>IF($E$20="","",$E$20)</f>
        <v>YOUNG4ENERGY s.r.o.</v>
      </c>
      <c r="AN82" s="208"/>
      <c r="AO82" s="208"/>
      <c r="AP82" s="208"/>
      <c r="AQ82" s="22"/>
      <c r="BH82" s="223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53"/>
    </row>
    <row r="83" spans="1:90" s="7" customFormat="1" ht="12" customHeight="1" x14ac:dyDescent="0.3">
      <c r="B83" s="21"/>
      <c r="AQ83" s="22"/>
      <c r="BH83" s="225"/>
      <c r="BI83" s="226"/>
      <c r="BJ83" s="226"/>
      <c r="BK83" s="226"/>
      <c r="BL83" s="226"/>
      <c r="BM83" s="226"/>
      <c r="BN83" s="226"/>
      <c r="BO83" s="226"/>
      <c r="BP83" s="226"/>
      <c r="BQ83" s="226"/>
      <c r="BR83" s="226"/>
      <c r="BS83" s="53"/>
    </row>
    <row r="84" spans="1:90" s="7" customFormat="1" ht="30" customHeight="1" x14ac:dyDescent="0.3">
      <c r="B84" s="21"/>
      <c r="C84" s="202" t="s">
        <v>44</v>
      </c>
      <c r="D84" s="203"/>
      <c r="E84" s="203"/>
      <c r="F84" s="203"/>
      <c r="G84" s="203"/>
      <c r="H84" s="31"/>
      <c r="I84" s="204" t="s">
        <v>45</v>
      </c>
      <c r="J84" s="203"/>
      <c r="K84" s="203"/>
      <c r="L84" s="203"/>
      <c r="M84" s="203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3"/>
      <c r="Y84" s="203"/>
      <c r="Z84" s="203"/>
      <c r="AA84" s="203"/>
      <c r="AB84" s="203"/>
      <c r="AC84" s="203"/>
      <c r="AD84" s="203"/>
      <c r="AE84" s="203"/>
      <c r="AF84" s="203"/>
      <c r="AG84" s="204" t="s">
        <v>46</v>
      </c>
      <c r="AH84" s="203"/>
      <c r="AI84" s="203"/>
      <c r="AJ84" s="203"/>
      <c r="AK84" s="203"/>
      <c r="AL84" s="203"/>
      <c r="AM84" s="203"/>
      <c r="AN84" s="204" t="s">
        <v>47</v>
      </c>
      <c r="AO84" s="203"/>
      <c r="AP84" s="231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12">
        <f>ROUND(SUM(AL87:AM94),2)</f>
        <v>0</v>
      </c>
      <c r="AH86" s="213"/>
      <c r="AI86" s="213"/>
      <c r="AJ86" s="213"/>
      <c r="AK86" s="213"/>
      <c r="AL86" s="213"/>
      <c r="AM86" s="213"/>
      <c r="AN86" s="212">
        <f>ROUND(SUM(AN87:AP94),2)</f>
        <v>0</v>
      </c>
      <c r="AO86" s="213"/>
      <c r="AP86" s="213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75.75" customHeight="1" x14ac:dyDescent="0.3">
      <c r="A87" s="118"/>
      <c r="B87" s="65"/>
      <c r="C87" s="66"/>
      <c r="D87" s="199" t="s">
        <v>139</v>
      </c>
      <c r="E87" s="200"/>
      <c r="F87" s="200"/>
      <c r="G87" s="200"/>
      <c r="H87" s="200"/>
      <c r="I87" s="66"/>
      <c r="J87" s="201" t="s">
        <v>237</v>
      </c>
      <c r="K87" s="201"/>
      <c r="L87" s="201"/>
      <c r="M87" s="201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  <c r="AF87" s="201"/>
      <c r="AG87" s="201"/>
      <c r="AH87" s="201"/>
      <c r="AI87" s="201"/>
      <c r="AJ87" s="201"/>
      <c r="AK87" s="105"/>
      <c r="AL87" s="197">
        <f>'SO01'!M27</f>
        <v>0</v>
      </c>
      <c r="AM87" s="197"/>
      <c r="AN87" s="197">
        <f>'SO01'!L35</f>
        <v>0</v>
      </c>
      <c r="AO87" s="198"/>
      <c r="AP87" s="198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75" customFormat="1" ht="42.75" customHeight="1" x14ac:dyDescent="0.3">
      <c r="A88" s="118"/>
      <c r="B88" s="72"/>
      <c r="C88" s="73"/>
      <c r="D88" s="199" t="s">
        <v>162</v>
      </c>
      <c r="E88" s="200"/>
      <c r="F88" s="200"/>
      <c r="G88" s="200"/>
      <c r="H88" s="200"/>
      <c r="I88" s="66"/>
      <c r="J88" s="201" t="s">
        <v>226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201"/>
      <c r="AH88" s="201"/>
      <c r="AI88" s="201"/>
      <c r="AJ88" s="201"/>
      <c r="AK88" s="105"/>
      <c r="AL88" s="197">
        <f>'SO02'!M27</f>
        <v>0</v>
      </c>
      <c r="AM88" s="197"/>
      <c r="AN88" s="197">
        <f>'SO02'!L35</f>
        <v>0</v>
      </c>
      <c r="AO88" s="198"/>
      <c r="AP88" s="198"/>
      <c r="AQ88" s="74"/>
      <c r="BG88" s="64"/>
      <c r="BH88" s="76"/>
      <c r="BI88" s="77"/>
      <c r="BJ88" s="78"/>
      <c r="BK88" s="77"/>
      <c r="BL88" s="77"/>
      <c r="BM88" s="77"/>
      <c r="BN88" s="77"/>
      <c r="BO88" s="77"/>
      <c r="BP88" s="77"/>
      <c r="BQ88" s="77"/>
      <c r="BR88" s="77"/>
      <c r="BS88" s="71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</row>
    <row r="89" spans="1:90" s="75" customFormat="1" ht="42.75" customHeight="1" x14ac:dyDescent="0.3">
      <c r="A89" s="118"/>
      <c r="B89" s="72"/>
      <c r="C89" s="73"/>
      <c r="D89" s="199" t="s">
        <v>162</v>
      </c>
      <c r="E89" s="200"/>
      <c r="F89" s="200"/>
      <c r="G89" s="200"/>
      <c r="H89" s="200"/>
      <c r="I89" s="66"/>
      <c r="J89" s="201" t="s">
        <v>238</v>
      </c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105"/>
      <c r="AL89" s="197">
        <f>'SO03'!M27</f>
        <v>0</v>
      </c>
      <c r="AM89" s="197"/>
      <c r="AN89" s="197">
        <f>'SO03'!L35</f>
        <v>0</v>
      </c>
      <c r="AO89" s="198"/>
      <c r="AP89" s="198"/>
      <c r="AQ89" s="74"/>
      <c r="BG89" s="64"/>
      <c r="BH89" s="76"/>
      <c r="BI89" s="77"/>
      <c r="BJ89" s="78"/>
      <c r="BK89" s="77"/>
      <c r="BL89" s="77"/>
      <c r="BM89" s="77"/>
      <c r="BN89" s="77"/>
      <c r="BO89" s="77"/>
      <c r="BP89" s="77"/>
      <c r="BQ89" s="77"/>
      <c r="BR89" s="77"/>
      <c r="BS89" s="71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</row>
    <row r="90" spans="1:90" s="75" customFormat="1" ht="40.5" customHeight="1" x14ac:dyDescent="0.3">
      <c r="A90" s="118"/>
      <c r="B90" s="65"/>
      <c r="C90" s="66"/>
      <c r="D90" s="199" t="s">
        <v>169</v>
      </c>
      <c r="E90" s="200"/>
      <c r="F90" s="200"/>
      <c r="G90" s="200"/>
      <c r="H90" s="200"/>
      <c r="I90" s="66"/>
      <c r="J90" s="201" t="s">
        <v>172</v>
      </c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201"/>
      <c r="AH90" s="201"/>
      <c r="AI90" s="201"/>
      <c r="AJ90" s="201"/>
      <c r="AK90" s="105"/>
      <c r="AL90" s="197">
        <f>'SO04'!M27</f>
        <v>0</v>
      </c>
      <c r="AM90" s="197"/>
      <c r="AN90" s="197">
        <f>'SO04'!L35</f>
        <v>0</v>
      </c>
      <c r="AO90" s="198"/>
      <c r="AP90" s="198"/>
      <c r="AQ90" s="22"/>
      <c r="AR90" s="7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199" t="s">
        <v>169</v>
      </c>
      <c r="E91" s="200"/>
      <c r="F91" s="200"/>
      <c r="G91" s="200"/>
      <c r="H91" s="200"/>
      <c r="I91" s="66"/>
      <c r="J91" s="201" t="s">
        <v>173</v>
      </c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201"/>
      <c r="AH91" s="201"/>
      <c r="AI91" s="201"/>
      <c r="AJ91" s="201"/>
      <c r="AK91" s="105"/>
      <c r="AL91" s="197">
        <f>'IO01'!M27</f>
        <v>0</v>
      </c>
      <c r="AM91" s="197"/>
      <c r="AN91" s="197">
        <f>'IO01'!L35</f>
        <v>0</v>
      </c>
      <c r="AO91" s="198"/>
      <c r="AP91" s="198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199" t="s">
        <v>170</v>
      </c>
      <c r="E92" s="200"/>
      <c r="F92" s="200"/>
      <c r="G92" s="200"/>
      <c r="H92" s="200"/>
      <c r="I92" s="66"/>
      <c r="J92" s="201" t="s">
        <v>174</v>
      </c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1"/>
      <c r="AH92" s="201"/>
      <c r="AI92" s="201"/>
      <c r="AJ92" s="201"/>
      <c r="AK92" s="105"/>
      <c r="AL92" s="197">
        <f>'IO02'!M27</f>
        <v>0</v>
      </c>
      <c r="AM92" s="197"/>
      <c r="AN92" s="197">
        <f>'IO02'!L35</f>
        <v>0</v>
      </c>
      <c r="AO92" s="198"/>
      <c r="AP92" s="198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199" t="s">
        <v>171</v>
      </c>
      <c r="E93" s="200"/>
      <c r="F93" s="200"/>
      <c r="G93" s="200"/>
      <c r="H93" s="200"/>
      <c r="I93" s="66"/>
      <c r="J93" s="201" t="s">
        <v>175</v>
      </c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201"/>
      <c r="AH93" s="201"/>
      <c r="AI93" s="201"/>
      <c r="AJ93" s="201"/>
      <c r="AK93" s="105"/>
      <c r="AL93" s="197">
        <f>'IO03'!M27</f>
        <v>0</v>
      </c>
      <c r="AM93" s="197"/>
      <c r="AN93" s="197">
        <f>'IO03'!L35</f>
        <v>0</v>
      </c>
      <c r="AO93" s="198"/>
      <c r="AP93" s="198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24.95" customHeight="1" x14ac:dyDescent="0.3">
      <c r="A94" s="7"/>
      <c r="B94" s="21"/>
      <c r="D94" s="199" t="s">
        <v>176</v>
      </c>
      <c r="E94" s="200"/>
      <c r="F94" s="200"/>
      <c r="G94" s="200"/>
      <c r="H94" s="200"/>
      <c r="I94" s="66"/>
      <c r="J94" s="201" t="s">
        <v>127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64"/>
      <c r="AH94" s="111"/>
      <c r="AI94" s="111"/>
      <c r="AJ94" s="111"/>
      <c r="AK94" s="105"/>
      <c r="AL94" s="197">
        <f>'VN + ON'!$M$27</f>
        <v>0</v>
      </c>
      <c r="AM94" s="197"/>
      <c r="AN94" s="197">
        <f>'VN + ON'!L35</f>
        <v>0</v>
      </c>
      <c r="AO94" s="198"/>
      <c r="AP94" s="198"/>
      <c r="AQ94" s="22"/>
      <c r="AR94" s="7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" customFormat="1" ht="21" customHeight="1" x14ac:dyDescent="0.3">
      <c r="B95" s="21"/>
      <c r="C95" s="86" t="s">
        <v>114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38">
        <f>ROUND($AG$86,2)</f>
        <v>0</v>
      </c>
      <c r="AH95" s="239"/>
      <c r="AI95" s="239"/>
      <c r="AJ95" s="239"/>
      <c r="AK95" s="239"/>
      <c r="AL95" s="239"/>
      <c r="AM95" s="239"/>
      <c r="AN95" s="238">
        <f>ROUND($AN$86,2)</f>
        <v>0</v>
      </c>
      <c r="AO95" s="239"/>
      <c r="AP95" s="239"/>
      <c r="AQ95" s="22"/>
      <c r="AR95" s="6"/>
      <c r="BH95" s="81">
        <v>0</v>
      </c>
      <c r="BI95" s="82" t="s">
        <v>71</v>
      </c>
      <c r="BJ95" s="82" t="s">
        <v>27</v>
      </c>
      <c r="BK95" s="79" t="e">
        <f>ROUND(IF($BJ$95="nulová",0,IF(OR($BJ$95="základní",$BJ$95="zákl. přenesená"),#REF!*$L$27,#REF!*$L$28)),2)</f>
        <v>#REF!</v>
      </c>
      <c r="BV95" s="7" t="s">
        <v>72</v>
      </c>
      <c r="BY95" s="80" t="e">
        <f>IF($BJ$95="základní",$BK$95,0)</f>
        <v>#REF!</v>
      </c>
      <c r="BZ95" s="80">
        <f>IF($BJ$95="snížená",$BK$95,0)</f>
        <v>0</v>
      </c>
      <c r="CA95" s="80">
        <f>IF($BJ$95="zákl. přenesená",$BK$95,0)</f>
        <v>0</v>
      </c>
      <c r="CB95" s="80">
        <f>IF($BJ$95="sníž. přenesená",$BK$95,0)</f>
        <v>0</v>
      </c>
      <c r="CC95" s="80">
        <f>IF($BJ$95="nulová",$BK$95,0)</f>
        <v>0</v>
      </c>
      <c r="CD95" s="80" t="e">
        <f>IF($BJ$95="základní",#REF!,0)</f>
        <v>#REF!</v>
      </c>
      <c r="CE95" s="80">
        <f>IF($BJ$95="snížená",#REF!,0)</f>
        <v>0</v>
      </c>
      <c r="CF95" s="80">
        <f>IF($BJ$95="zákl. přenesená",#REF!,0)</f>
        <v>0</v>
      </c>
      <c r="CG95" s="80">
        <f>IF($BJ$95="sníž. přenesená",#REF!,0)</f>
        <v>0</v>
      </c>
      <c r="CH95" s="80">
        <f>IF($BJ$95="nulová",#REF!,0)</f>
        <v>0</v>
      </c>
      <c r="CI95" s="7">
        <f>IF($BJ$95="základní",1,IF($BJ$95="snížená",2,IF($BJ$95="zákl. přenesená",4,IF($BJ$95="sníž. přenesená",5,3))))</f>
        <v>1</v>
      </c>
      <c r="CJ95" s="7">
        <f>IF($BI$95="stavební čast",1,IF(88104="investiční čast",2,3))</f>
        <v>1</v>
      </c>
      <c r="CK95" s="7" t="e">
        <f>IF(#REF!="Vyplň vlastní","","x")</f>
        <v>#REF!</v>
      </c>
    </row>
    <row r="96" spans="1:90" s="7" customFormat="1" ht="12" customHeight="1" x14ac:dyDescent="0.3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110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čast",1,IF(88105="investiční čast",2,3))</f>
        <v>1</v>
      </c>
      <c r="CK96" s="7" t="e">
        <f>IF(#REF!="Vyplň vlastní","","x")</f>
        <v>#REF!</v>
      </c>
    </row>
    <row r="97" spans="1:90" s="7" customFormat="1" ht="30.75" customHeight="1" x14ac:dyDescent="0.3">
      <c r="A97" s="6"/>
      <c r="B97" s="6"/>
      <c r="C97" s="6"/>
      <c r="AQ97" s="6"/>
      <c r="AR97" s="6"/>
      <c r="BH97" s="83">
        <v>0</v>
      </c>
      <c r="BI97" s="84" t="s">
        <v>71</v>
      </c>
      <c r="BJ97" s="84" t="s">
        <v>27</v>
      </c>
      <c r="BK97" s="85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čast",1,IF(88106="investiční čast",2,3))</f>
        <v>1</v>
      </c>
      <c r="CK97" s="7" t="e">
        <f>IF(#REF!="Vyplň vlastní","","x")</f>
        <v>#REF!</v>
      </c>
    </row>
    <row r="98" spans="1:90" s="7" customFormat="1" ht="7.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</row>
    <row r="99" spans="1:90" ht="14.25" customHeight="1" x14ac:dyDescent="0.3"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</sheetData>
  <sheetProtection algorithmName="SHA-512" hashValue="q4mwbuow1C7VyaDOn8LqrAsrIovZLYNJnjMfVxGZhX2Yq/Ro5Yyqfl3/PIRV9DAXaDX1HXI/hmnRgyRKLMIzog==" saltValue="n8DEFcRW6fpXGUnc5LnExA==" spinCount="100000" sheet="1" objects="1" scenarios="1" selectLockedCells="1"/>
  <mergeCells count="79">
    <mergeCell ref="D94:H94"/>
    <mergeCell ref="J94:AF94"/>
    <mergeCell ref="AN94:AP94"/>
    <mergeCell ref="D90:H90"/>
    <mergeCell ref="AG95:AM95"/>
    <mergeCell ref="AL93:AM93"/>
    <mergeCell ref="AL91:AM91"/>
    <mergeCell ref="D92:H92"/>
    <mergeCell ref="D93:H93"/>
    <mergeCell ref="J91:AJ91"/>
    <mergeCell ref="J92:AJ92"/>
    <mergeCell ref="J93:AJ93"/>
    <mergeCell ref="AN95:AP95"/>
    <mergeCell ref="AN91:AP91"/>
    <mergeCell ref="AL92:AM92"/>
    <mergeCell ref="AN92:AP92"/>
    <mergeCell ref="AK25:AO25"/>
    <mergeCell ref="AL94:AM94"/>
    <mergeCell ref="L77:AO77"/>
    <mergeCell ref="AM81:AP81"/>
    <mergeCell ref="AM82:AP82"/>
    <mergeCell ref="AM79:AN79"/>
    <mergeCell ref="J90:AJ90"/>
    <mergeCell ref="AL90:AM90"/>
    <mergeCell ref="AN90:AP90"/>
    <mergeCell ref="L79:AG79"/>
    <mergeCell ref="AN84:AP84"/>
    <mergeCell ref="AN87:AP87"/>
    <mergeCell ref="AN86:AP86"/>
    <mergeCell ref="AL88:AM88"/>
    <mergeCell ref="AN88:AP88"/>
    <mergeCell ref="AN93:AP93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D91:H91"/>
    <mergeCell ref="D89:H89"/>
    <mergeCell ref="J89:AJ89"/>
    <mergeCell ref="AK27:AO27"/>
    <mergeCell ref="C75:AP75"/>
    <mergeCell ref="L28:O28"/>
    <mergeCell ref="W28:AE28"/>
    <mergeCell ref="AK28:AO28"/>
    <mergeCell ref="L27:O27"/>
    <mergeCell ref="W27:AE27"/>
    <mergeCell ref="D34:AO47"/>
    <mergeCell ref="AG84:AM84"/>
    <mergeCell ref="D87:H87"/>
    <mergeCell ref="AL87:AM87"/>
    <mergeCell ref="J87:AJ87"/>
    <mergeCell ref="AG86:AM86"/>
    <mergeCell ref="AL89:AM89"/>
    <mergeCell ref="AN89:AP89"/>
    <mergeCell ref="D88:H88"/>
    <mergeCell ref="J88:AJ88"/>
    <mergeCell ref="C84:G84"/>
    <mergeCell ref="I84:AF84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5 BJ95:BJ97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5 BI95:BI97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50"/>
  <sheetViews>
    <sheetView showGridLines="0" zoomScaleNormal="100" zoomScaleSheetLayoutView="130" workbookViewId="0">
      <pane ySplit="1" topLeftCell="A144" activePane="bottomLeft" state="frozenSplit"/>
      <selection activeCell="F151" sqref="F151:I151"/>
      <selection pane="bottomLeft" activeCell="L149" sqref="L149:M149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20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29" ht="24.95" customHeight="1" x14ac:dyDescent="0.3">
      <c r="B7" s="11"/>
      <c r="D7" s="18" t="s">
        <v>75</v>
      </c>
      <c r="F7" s="270" t="str">
        <f>Rekapitulace!J87</f>
        <v>Instalace pozemní FVE o výkonu 991,9 kWp na pozemcích v areálu p. č. 467/4; p. č. 467/13; p. č. 449/2 a p. č. st. 220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Rekapitulace!J87</f>
        <v>Instalace pozemní FVE o výkonu 991,9 kWp na pozemcích v areálu p. č. 467/4; p. č. 467/13; p. č. 449/2 a p. č. st. 220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9" t="str">
        <f>Rekapitulace!L79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$N$87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(H29)*$F$29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f>(SUM($BF$93:$BF$93)+SUM($BF$112:$BF$140))</f>
        <v>0</v>
      </c>
      <c r="I30" s="208"/>
      <c r="J30" s="208"/>
      <c r="M30" s="272">
        <f>(SUM($BF$93:$BF$93)+SUM($BF$112:$BF$140))*$F$30</f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(SUM($BG$93:$BG$93)+SUM($BG$112:$BG$141))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(SUM($BH$93:$BH$93)+SUM($BH$112:$BH$141))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(SUM($BI$93:$BI$93)+SUM($BI$112:$BI$141))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2"/>
      <c r="L37" s="208"/>
      <c r="M37" s="208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R77" s="22"/>
    </row>
    <row r="78" spans="2:18" ht="24.95" customHeight="1" x14ac:dyDescent="0.3">
      <c r="B78" s="11"/>
      <c r="C78" s="18" t="s">
        <v>75</v>
      </c>
      <c r="F78" s="270" t="str">
        <f>F7</f>
        <v>Instalace pozemní FVE o výkonu 991,9 kWp na pozemcích v areálu p. č. 467/4; p. č. 467/13; p. č. 449/2 a p. č. st. 220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12"/>
    </row>
    <row r="79" spans="2:18" s="7" customFormat="1" ht="69.75" customHeight="1" x14ac:dyDescent="0.3">
      <c r="B79" s="21"/>
      <c r="C79" s="50" t="s">
        <v>76</v>
      </c>
      <c r="F79" s="234" t="str">
        <f>F8</f>
        <v>Instalace pozemní FVE o výkonu 991,9 kWp na pozemcích v areálu p. č. 467/4; p. č. 467/13; p. č. 449/2 a p. č. st. 220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18" s="7" customFormat="1" ht="30" customHeight="1" x14ac:dyDescent="0.3">
      <c r="B87" s="21"/>
      <c r="C87" s="58" t="s">
        <v>81</v>
      </c>
      <c r="N87" s="212">
        <f>SUM(N88:Q92)</f>
        <v>0</v>
      </c>
      <c r="O87" s="208"/>
      <c r="P87" s="208"/>
      <c r="Q87" s="208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56">
        <f>$N$113</f>
        <v>0</v>
      </c>
      <c r="O88" s="257"/>
      <c r="P88" s="257"/>
      <c r="Q88" s="257"/>
      <c r="R88" s="90"/>
    </row>
    <row r="89" spans="2:18" s="75" customFormat="1" ht="21" customHeight="1" x14ac:dyDescent="0.35">
      <c r="B89" s="91"/>
      <c r="D89" s="101" t="str">
        <f>D127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$N$127</f>
        <v>0</v>
      </c>
      <c r="O89" s="257"/>
      <c r="P89" s="257"/>
      <c r="Q89" s="257"/>
      <c r="R89" s="92"/>
    </row>
    <row r="90" spans="2:18" s="75" customFormat="1" ht="21" customHeight="1" x14ac:dyDescent="0.35">
      <c r="B90" s="91"/>
      <c r="D90" s="101" t="str">
        <f>D135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$N$135</f>
        <v>0</v>
      </c>
      <c r="O90" s="257"/>
      <c r="P90" s="257"/>
      <c r="Q90" s="257"/>
      <c r="R90" s="92"/>
    </row>
    <row r="91" spans="2:18" s="75" customFormat="1" ht="21" customHeight="1" x14ac:dyDescent="0.35">
      <c r="B91" s="91"/>
      <c r="D91" s="101" t="str">
        <f>D142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56">
        <f>N142</f>
        <v>0</v>
      </c>
      <c r="O91" s="257"/>
      <c r="P91" s="257"/>
      <c r="Q91" s="257"/>
      <c r="R91" s="92"/>
    </row>
    <row r="92" spans="2:18" s="75" customFormat="1" ht="21" customHeight="1" x14ac:dyDescent="0.35">
      <c r="B92" s="91"/>
      <c r="D92" s="101" t="str">
        <f>D147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56">
        <f>N147</f>
        <v>0</v>
      </c>
      <c r="O92" s="257"/>
      <c r="P92" s="257"/>
      <c r="Q92" s="257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114</v>
      </c>
      <c r="D94" s="29"/>
      <c r="E94" s="29"/>
      <c r="F94" s="29"/>
      <c r="G94" s="29"/>
      <c r="H94" s="29"/>
      <c r="I94" s="29"/>
      <c r="J94" s="29"/>
      <c r="K94" s="29"/>
      <c r="L94" s="238">
        <f>N112</f>
        <v>0</v>
      </c>
      <c r="M94" s="239"/>
      <c r="N94" s="239"/>
      <c r="O94" s="239"/>
      <c r="P94" s="239"/>
      <c r="Q94" s="239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07" t="s">
        <v>83</v>
      </c>
      <c r="D100" s="208"/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70" t="str">
        <f>$F$6</f>
        <v>Instalace nové fotovoltaické elektrárny s výkonem 991,9 kWp v areálu Litvínov společnosti ČEPRO, a.s.</v>
      </c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R102" s="22"/>
    </row>
    <row r="103" spans="2:63" ht="24.95" customHeight="1" x14ac:dyDescent="0.3">
      <c r="B103" s="11"/>
      <c r="C103" s="18" t="s">
        <v>75</v>
      </c>
      <c r="F103" s="270" t="str">
        <f>F7</f>
        <v>Instalace pozemní FVE o výkonu 991,9 kWp na pozemcích v areálu p. č. 467/4; p. č. 467/13; p. č. 449/2 a p. č. st. 220</v>
      </c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R103" s="12"/>
    </row>
    <row r="104" spans="2:63" s="7" customFormat="1" ht="68.25" customHeight="1" x14ac:dyDescent="0.3">
      <c r="B104" s="21"/>
      <c r="C104" s="50" t="s">
        <v>76</v>
      </c>
      <c r="F104" s="234" t="str">
        <f>F8</f>
        <v>Instalace pozemní FVE o výkonu 991,9 kWp na pozemcích v areálu p. č. 467/4; p. č. 467/13; p. č. 449/2 a p. č. st. 220</v>
      </c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Litvínov</v>
      </c>
      <c r="L106" s="18" t="s">
        <v>16</v>
      </c>
      <c r="M106" s="235">
        <f ca="1">IF($O$10="","",$O$10)</f>
        <v>45238</v>
      </c>
      <c r="N106" s="208"/>
      <c r="O106" s="208"/>
      <c r="P106" s="208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9" t="str">
        <f>$E$19</f>
        <v>YOUNG4ENERGY s.r.o.</v>
      </c>
      <c r="N108" s="208"/>
      <c r="O108" s="208"/>
      <c r="P108" s="208"/>
      <c r="Q108" s="208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9" t="str">
        <f>$E$22</f>
        <v>YOUNG4ENERGY s.r.o.</v>
      </c>
      <c r="N109" s="208"/>
      <c r="O109" s="208"/>
      <c r="P109" s="208"/>
      <c r="Q109" s="208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67" t="s">
        <v>86</v>
      </c>
      <c r="G111" s="268"/>
      <c r="H111" s="268"/>
      <c r="I111" s="268"/>
      <c r="J111" s="165" t="s">
        <v>87</v>
      </c>
      <c r="K111" s="165" t="s">
        <v>88</v>
      </c>
      <c r="L111" s="267" t="s">
        <v>89</v>
      </c>
      <c r="M111" s="268"/>
      <c r="N111" s="267" t="s">
        <v>90</v>
      </c>
      <c r="O111" s="268"/>
      <c r="P111" s="268"/>
      <c r="Q111" s="269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75">
        <f>N113+N135+N127+N142+N147</f>
        <v>0</v>
      </c>
      <c r="O112" s="208"/>
      <c r="P112" s="208"/>
      <c r="Q112" s="208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140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76">
        <f>N114+N117+N120+N123+N125</f>
        <v>0</v>
      </c>
      <c r="O113" s="263"/>
      <c r="P113" s="263"/>
      <c r="Q113" s="263"/>
      <c r="R113" s="102"/>
      <c r="T113" s="114"/>
      <c r="W113" s="115" t="e">
        <f>$W$114+#REF!+$W$128+#REF!+#REF!+#REF!</f>
        <v>#REF!</v>
      </c>
      <c r="Y113" s="115" t="e">
        <f>$Y$114+#REF!+$Y$128+#REF!+#REF!+#REF!</f>
        <v>#REF!</v>
      </c>
      <c r="AA113" s="116" t="e">
        <f>$AA$114+#REF!+$AA$128+#REF!+#REF!+#REF!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154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2">
        <f>SUM(N115:Q116)</f>
        <v>0</v>
      </c>
      <c r="O114" s="263"/>
      <c r="P114" s="263"/>
      <c r="Q114" s="263"/>
      <c r="R114" s="102"/>
      <c r="T114" s="114"/>
      <c r="W114" s="115" t="e">
        <f>SUM($W$115:$W$124)</f>
        <v>#REF!</v>
      </c>
      <c r="Y114" s="115" t="e">
        <f>SUM($Y$115:$Y$124)</f>
        <v>#REF!</v>
      </c>
      <c r="AA114" s="116" t="e">
        <f>SUM($AA$115:$AA$124)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264" t="s">
        <v>212</v>
      </c>
      <c r="G115" s="265"/>
      <c r="H115" s="265"/>
      <c r="I115" s="266"/>
      <c r="J115" s="158" t="s">
        <v>103</v>
      </c>
      <c r="K115" s="121">
        <v>1820</v>
      </c>
      <c r="L115" s="246">
        <v>0</v>
      </c>
      <c r="M115" s="247"/>
      <c r="N115" s="244">
        <f>ROUND(L115*K115,2)</f>
        <v>0</v>
      </c>
      <c r="O115" s="245"/>
      <c r="P115" s="245"/>
      <c r="Q115" s="245"/>
      <c r="R115" s="22"/>
      <c r="T115" s="103"/>
      <c r="U115" s="27" t="s">
        <v>27</v>
      </c>
      <c r="V115" s="119">
        <v>0.497</v>
      </c>
      <c r="W115" s="119">
        <f>$V$115*$K$115</f>
        <v>904.54</v>
      </c>
      <c r="X115" s="119">
        <v>3.4000000000000002E-4</v>
      </c>
      <c r="Y115" s="119">
        <f>$X$115*$K$115</f>
        <v>0.61880000000000002</v>
      </c>
      <c r="Z115" s="119">
        <v>0</v>
      </c>
      <c r="AA115" s="104">
        <f>$Z$115*$K$115</f>
        <v>0</v>
      </c>
      <c r="AB115" s="167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 t="shared" ref="C116" si="0">C115+1</f>
        <v>2</v>
      </c>
      <c r="D116" s="166"/>
      <c r="E116" s="155"/>
      <c r="F116" s="241" t="s">
        <v>155</v>
      </c>
      <c r="G116" s="242"/>
      <c r="H116" s="242"/>
      <c r="I116" s="243"/>
      <c r="J116" s="159" t="s">
        <v>103</v>
      </c>
      <c r="K116" s="121">
        <v>1820</v>
      </c>
      <c r="L116" s="246">
        <v>0</v>
      </c>
      <c r="M116" s="247"/>
      <c r="N116" s="244">
        <f>ROUND(L116*K116,2)</f>
        <v>0</v>
      </c>
      <c r="O116" s="245"/>
      <c r="P116" s="245"/>
      <c r="Q116" s="245"/>
      <c r="R116" s="22"/>
      <c r="T116" s="103"/>
      <c r="U116" s="27" t="s">
        <v>27</v>
      </c>
      <c r="V116" s="119">
        <v>0.497</v>
      </c>
      <c r="W116" s="119">
        <f>$V$116*$K$116</f>
        <v>904.54</v>
      </c>
      <c r="X116" s="119">
        <v>3.4000000000000002E-4</v>
      </c>
      <c r="Y116" s="119">
        <f>$X$116*$K$116</f>
        <v>0.61880000000000002</v>
      </c>
      <c r="Z116" s="119">
        <v>0</v>
      </c>
      <c r="AA116" s="104">
        <f>$Z$116*$K$116</f>
        <v>0</v>
      </c>
      <c r="AB116" s="167"/>
      <c r="AD116" s="167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157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2">
        <f>SUM(N118:Q119)</f>
        <v>0</v>
      </c>
      <c r="O117" s="263"/>
      <c r="P117" s="263"/>
      <c r="Q117" s="263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241" t="s">
        <v>179</v>
      </c>
      <c r="G118" s="242"/>
      <c r="H118" s="242"/>
      <c r="I118" s="243"/>
      <c r="J118" s="159" t="s">
        <v>103</v>
      </c>
      <c r="K118" s="121">
        <v>7</v>
      </c>
      <c r="L118" s="251">
        <v>0</v>
      </c>
      <c r="M118" s="252"/>
      <c r="N118" s="244">
        <f>ROUND(L118*K118,2)</f>
        <v>0</v>
      </c>
      <c r="O118" s="245"/>
      <c r="P118" s="245"/>
      <c r="Q118" s="245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58.5" customHeight="1" x14ac:dyDescent="0.3">
      <c r="B119" s="21"/>
      <c r="C119" s="120">
        <f>C118+1</f>
        <v>4</v>
      </c>
      <c r="D119" s="120"/>
      <c r="E119" s="155"/>
      <c r="F119" s="241" t="s">
        <v>180</v>
      </c>
      <c r="G119" s="242"/>
      <c r="H119" s="242"/>
      <c r="I119" s="243"/>
      <c r="J119" s="159" t="s">
        <v>100</v>
      </c>
      <c r="K119" s="121">
        <v>7</v>
      </c>
      <c r="L119" s="251">
        <v>0</v>
      </c>
      <c r="M119" s="252"/>
      <c r="N119" s="244">
        <f>ROUND(L119*K119,2)</f>
        <v>0</v>
      </c>
      <c r="O119" s="245"/>
      <c r="P119" s="245"/>
      <c r="Q119" s="245"/>
      <c r="R119" s="22"/>
      <c r="T119" s="103"/>
      <c r="U119" s="27" t="s">
        <v>27</v>
      </c>
      <c r="V119" s="119">
        <v>0.26700000000000002</v>
      </c>
      <c r="W119" s="119" t="e">
        <f>#REF!*#REF!</f>
        <v>#REF!</v>
      </c>
      <c r="X119" s="119">
        <v>1E-4</v>
      </c>
      <c r="Y119" s="119" t="e">
        <f>#REF!*#REF!</f>
        <v>#REF!</v>
      </c>
      <c r="Z119" s="119">
        <v>0</v>
      </c>
      <c r="AA119" s="104" t="e">
        <f>#REF!*#REF!</f>
        <v>#REF!</v>
      </c>
      <c r="BE119" s="80"/>
      <c r="BF119" s="80"/>
      <c r="BG119" s="80"/>
      <c r="BH119" s="80"/>
      <c r="BI119" s="80"/>
      <c r="BK119" s="80"/>
    </row>
    <row r="120" spans="2:63" s="113" customFormat="1" ht="20.100000000000001" customHeight="1" x14ac:dyDescent="0.3">
      <c r="B120" s="100"/>
      <c r="D120" s="112" t="s">
        <v>158</v>
      </c>
      <c r="E120" s="112"/>
      <c r="F120" s="112"/>
      <c r="G120" s="112"/>
      <c r="H120" s="112"/>
      <c r="I120" s="112"/>
      <c r="J120" s="112"/>
      <c r="K120" s="112"/>
      <c r="L120" s="112"/>
      <c r="M120" s="112"/>
      <c r="N120" s="262">
        <f>SUM(N121:Q122)</f>
        <v>0</v>
      </c>
      <c r="O120" s="263"/>
      <c r="P120" s="263"/>
      <c r="Q120" s="263"/>
      <c r="R120" s="102"/>
      <c r="T120" s="114"/>
      <c r="W120" s="115" t="e">
        <f>SUM($W$115:$W$124)</f>
        <v>#REF!</v>
      </c>
      <c r="Y120" s="115" t="e">
        <f>SUM($Y$115:$Y$124)</f>
        <v>#REF!</v>
      </c>
      <c r="AA120" s="116" t="e">
        <f>SUM($AA$115:$AA$124)</f>
        <v>#REF!</v>
      </c>
      <c r="AR120" s="164"/>
      <c r="AT120" s="164"/>
      <c r="AU120" s="164"/>
      <c r="AY120" s="164"/>
      <c r="BK120" s="117"/>
    </row>
    <row r="121" spans="2:63" s="7" customFormat="1" ht="90.75" customHeight="1" x14ac:dyDescent="0.3">
      <c r="B121" s="21"/>
      <c r="C121" s="120">
        <f>C119+1</f>
        <v>5</v>
      </c>
      <c r="D121" s="120"/>
      <c r="E121" s="155"/>
      <c r="F121" s="241" t="s">
        <v>181</v>
      </c>
      <c r="G121" s="242"/>
      <c r="H121" s="242"/>
      <c r="I121" s="243"/>
      <c r="J121" s="159" t="s">
        <v>103</v>
      </c>
      <c r="K121" s="121">
        <v>918</v>
      </c>
      <c r="L121" s="246">
        <v>0</v>
      </c>
      <c r="M121" s="247"/>
      <c r="N121" s="244">
        <f>ROUND(L121*K121,2)</f>
        <v>0</v>
      </c>
      <c r="O121" s="245"/>
      <c r="P121" s="245"/>
      <c r="Q121" s="245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3" s="7" customFormat="1" ht="44.25" customHeight="1" x14ac:dyDescent="0.3">
      <c r="B122" s="21"/>
      <c r="C122" s="120">
        <f>C121+1</f>
        <v>6</v>
      </c>
      <c r="D122" s="120"/>
      <c r="E122" s="155"/>
      <c r="F122" s="241" t="s">
        <v>163</v>
      </c>
      <c r="G122" s="242"/>
      <c r="H122" s="242"/>
      <c r="I122" s="243"/>
      <c r="J122" s="159" t="s">
        <v>103</v>
      </c>
      <c r="K122" s="121">
        <v>918</v>
      </c>
      <c r="L122" s="251">
        <v>0</v>
      </c>
      <c r="M122" s="252"/>
      <c r="N122" s="244">
        <f>ROUND(L122*K122,2)</f>
        <v>0</v>
      </c>
      <c r="O122" s="245"/>
      <c r="P122" s="245"/>
      <c r="Q122" s="245"/>
      <c r="R122" s="22"/>
      <c r="T122" s="103"/>
      <c r="U122" s="27" t="s">
        <v>27</v>
      </c>
      <c r="V122" s="119">
        <v>0.26700000000000002</v>
      </c>
      <c r="W122" s="119" t="e">
        <f>#REF!*#REF!</f>
        <v>#REF!</v>
      </c>
      <c r="X122" s="119">
        <v>1E-4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113" customFormat="1" ht="20.100000000000001" customHeight="1" x14ac:dyDescent="0.3">
      <c r="B123" s="100"/>
      <c r="D123" s="112" t="s">
        <v>159</v>
      </c>
      <c r="E123" s="112"/>
      <c r="F123" s="112"/>
      <c r="G123" s="112"/>
      <c r="H123" s="112"/>
      <c r="I123" s="112"/>
      <c r="J123" s="112"/>
      <c r="K123" s="112"/>
      <c r="L123" s="112"/>
      <c r="M123" s="112"/>
      <c r="N123" s="262">
        <f>SUM(N124:Q124)</f>
        <v>0</v>
      </c>
      <c r="O123" s="263"/>
      <c r="P123" s="263"/>
      <c r="Q123" s="263"/>
      <c r="R123" s="102"/>
      <c r="T123" s="114"/>
      <c r="W123" s="115" t="e">
        <f>SUM($W$115:$W$124)</f>
        <v>#REF!</v>
      </c>
      <c r="Y123" s="115" t="e">
        <f>SUM($Y$115:$Y$124)</f>
        <v>#REF!</v>
      </c>
      <c r="AA123" s="116" t="e">
        <f>SUM($AA$115:$AA$124)</f>
        <v>#REF!</v>
      </c>
      <c r="AR123" s="164"/>
      <c r="AT123" s="164"/>
      <c r="AU123" s="164"/>
      <c r="AY123" s="164"/>
      <c r="BK123" s="117"/>
    </row>
    <row r="124" spans="2:63" s="7" customFormat="1" ht="87.75" customHeight="1" x14ac:dyDescent="0.3">
      <c r="B124" s="21"/>
      <c r="C124" s="120">
        <f>C122+1</f>
        <v>7</v>
      </c>
      <c r="D124" s="120"/>
      <c r="E124" s="155"/>
      <c r="F124" s="241" t="s">
        <v>230</v>
      </c>
      <c r="G124" s="242"/>
      <c r="H124" s="242"/>
      <c r="I124" s="243"/>
      <c r="J124" s="159" t="s">
        <v>100</v>
      </c>
      <c r="K124" s="121">
        <v>1</v>
      </c>
      <c r="L124" s="246">
        <v>0</v>
      </c>
      <c r="M124" s="247"/>
      <c r="N124" s="244">
        <f>ROUND(L124*K124,2)</f>
        <v>0</v>
      </c>
      <c r="O124" s="245"/>
      <c r="P124" s="245"/>
      <c r="Q124" s="245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3" s="113" customFormat="1" ht="20.100000000000001" customHeight="1" x14ac:dyDescent="0.3">
      <c r="B125" s="100"/>
      <c r="D125" s="112" t="s">
        <v>160</v>
      </c>
      <c r="E125" s="112"/>
      <c r="F125" s="112"/>
      <c r="G125" s="112"/>
      <c r="H125" s="112"/>
      <c r="I125" s="112"/>
      <c r="J125" s="112"/>
      <c r="K125" s="112"/>
      <c r="L125" s="112"/>
      <c r="M125" s="112"/>
      <c r="N125" s="262">
        <f>SUM(N126)</f>
        <v>0</v>
      </c>
      <c r="O125" s="263"/>
      <c r="P125" s="263"/>
      <c r="Q125" s="263"/>
      <c r="R125" s="102"/>
      <c r="T125" s="114"/>
      <c r="W125" s="115" t="e">
        <f>SUM($W$115:$W$124)</f>
        <v>#REF!</v>
      </c>
      <c r="Y125" s="115" t="e">
        <f>SUM($Y$115:$Y$124)</f>
        <v>#REF!</v>
      </c>
      <c r="AA125" s="116" t="e">
        <f>SUM($AA$115:$AA$124)</f>
        <v>#REF!</v>
      </c>
      <c r="AR125" s="164"/>
      <c r="AT125" s="164"/>
      <c r="AU125" s="164"/>
      <c r="AY125" s="164"/>
      <c r="BK125" s="117"/>
    </row>
    <row r="126" spans="2:63" s="7" customFormat="1" ht="77.25" customHeight="1" x14ac:dyDescent="0.3">
      <c r="B126" s="21"/>
      <c r="C126" s="120">
        <f>C124+1</f>
        <v>8</v>
      </c>
      <c r="D126" s="120"/>
      <c r="E126" s="155"/>
      <c r="F126" s="241" t="s">
        <v>227</v>
      </c>
      <c r="G126" s="242"/>
      <c r="H126" s="242"/>
      <c r="I126" s="243"/>
      <c r="J126" s="159" t="s">
        <v>103</v>
      </c>
      <c r="K126" s="121">
        <v>7</v>
      </c>
      <c r="L126" s="246">
        <v>0</v>
      </c>
      <c r="M126" s="247"/>
      <c r="N126" s="244">
        <f>ROUND(L126*K126,2)</f>
        <v>0</v>
      </c>
      <c r="O126" s="245"/>
      <c r="P126" s="245"/>
      <c r="Q126" s="245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3" s="113" customFormat="1" ht="24.95" customHeight="1" x14ac:dyDescent="0.35">
      <c r="B127" s="100"/>
      <c r="D127" s="101" t="s">
        <v>110</v>
      </c>
      <c r="E127" s="101"/>
      <c r="F127" s="192"/>
      <c r="G127" s="192"/>
      <c r="H127" s="192"/>
      <c r="I127" s="192"/>
      <c r="J127" s="101"/>
      <c r="K127" s="101"/>
      <c r="L127" s="101"/>
      <c r="M127" s="101"/>
      <c r="N127" s="240">
        <f>N128+N131+N133</f>
        <v>0</v>
      </c>
      <c r="O127" s="240"/>
      <c r="P127" s="240"/>
      <c r="Q127" s="240"/>
      <c r="R127" s="102"/>
      <c r="T127" s="114"/>
      <c r="W127" s="115"/>
      <c r="Y127" s="115"/>
      <c r="AA127" s="116"/>
      <c r="AR127" s="164"/>
      <c r="AT127" s="164"/>
      <c r="AU127" s="164"/>
      <c r="AY127" s="164"/>
      <c r="BK127" s="117"/>
    </row>
    <row r="128" spans="2:63" s="113" customFormat="1" ht="20.100000000000001" customHeight="1" x14ac:dyDescent="0.3">
      <c r="B128" s="100"/>
      <c r="D128" s="112" t="s">
        <v>112</v>
      </c>
      <c r="E128" s="112"/>
      <c r="F128" s="193"/>
      <c r="G128" s="193"/>
      <c r="H128" s="193"/>
      <c r="I128" s="193"/>
      <c r="J128" s="112"/>
      <c r="K128" s="112"/>
      <c r="L128" s="112"/>
      <c r="M128" s="112"/>
      <c r="N128" s="253">
        <f>SUM(N129:Q130)</f>
        <v>0</v>
      </c>
      <c r="O128" s="253"/>
      <c r="P128" s="253"/>
      <c r="Q128" s="253"/>
      <c r="R128" s="102"/>
      <c r="T128" s="114"/>
      <c r="W128" s="115" t="e">
        <f>SUM(#REF!)</f>
        <v>#REF!</v>
      </c>
      <c r="Y128" s="115" t="e">
        <f>SUM(#REF!)</f>
        <v>#REF!</v>
      </c>
      <c r="AA128" s="116" t="e">
        <f>SUM(#REF!)</f>
        <v>#REF!</v>
      </c>
      <c r="AR128" s="164"/>
      <c r="AT128" s="164"/>
      <c r="AU128" s="164"/>
      <c r="AY128" s="164"/>
      <c r="BK128" s="117"/>
    </row>
    <row r="129" spans="1:63" s="7" customFormat="1" ht="69" customHeight="1" x14ac:dyDescent="0.3">
      <c r="B129" s="21"/>
      <c r="C129" s="120">
        <f>C126+1</f>
        <v>9</v>
      </c>
      <c r="D129" s="120"/>
      <c r="E129" s="156"/>
      <c r="F129" s="259" t="s">
        <v>213</v>
      </c>
      <c r="G129" s="260"/>
      <c r="H129" s="260"/>
      <c r="I129" s="261"/>
      <c r="J129" s="159" t="s">
        <v>100</v>
      </c>
      <c r="K129" s="154">
        <v>1</v>
      </c>
      <c r="L129" s="246">
        <v>0</v>
      </c>
      <c r="M129" s="247"/>
      <c r="N129" s="248">
        <f>ROUND(L129*K129,2)</f>
        <v>0</v>
      </c>
      <c r="O129" s="249"/>
      <c r="P129" s="249"/>
      <c r="Q129" s="250"/>
      <c r="R129" s="22"/>
      <c r="T129" s="103"/>
      <c r="U129" s="27"/>
      <c r="V129" s="119"/>
      <c r="W129" s="119"/>
      <c r="X129" s="119"/>
      <c r="Y129" s="119"/>
      <c r="Z129" s="119"/>
      <c r="AA129" s="104"/>
      <c r="BE129" s="80"/>
      <c r="BF129" s="80"/>
      <c r="BG129" s="80"/>
      <c r="BH129" s="80"/>
      <c r="BI129" s="80"/>
      <c r="BK129" s="80"/>
    </row>
    <row r="130" spans="1:63" s="7" customFormat="1" ht="48" customHeight="1" x14ac:dyDescent="0.3">
      <c r="B130" s="21"/>
      <c r="C130" s="120">
        <f>C129+1</f>
        <v>10</v>
      </c>
      <c r="D130" s="166"/>
      <c r="E130" s="156"/>
      <c r="F130" s="259" t="s">
        <v>214</v>
      </c>
      <c r="G130" s="260"/>
      <c r="H130" s="260"/>
      <c r="I130" s="261"/>
      <c r="J130" s="159" t="s">
        <v>100</v>
      </c>
      <c r="K130" s="121">
        <v>1</v>
      </c>
      <c r="L130" s="246">
        <v>0</v>
      </c>
      <c r="M130" s="247"/>
      <c r="N130" s="248">
        <f>ROUND(L130*K130,2)</f>
        <v>0</v>
      </c>
      <c r="O130" s="249"/>
      <c r="P130" s="249"/>
      <c r="Q130" s="250"/>
      <c r="R130" s="22"/>
      <c r="T130" s="103"/>
      <c r="U130" s="27"/>
      <c r="V130" s="119"/>
      <c r="W130" s="119"/>
      <c r="X130" s="119"/>
      <c r="Y130" s="119"/>
      <c r="Z130" s="119"/>
      <c r="AA130" s="104"/>
      <c r="BE130" s="80"/>
      <c r="BF130" s="80"/>
      <c r="BG130" s="80"/>
      <c r="BH130" s="80"/>
      <c r="BI130" s="80"/>
      <c r="BK130" s="80"/>
    </row>
    <row r="131" spans="1:63" s="113" customFormat="1" ht="20.100000000000001" customHeight="1" x14ac:dyDescent="0.3">
      <c r="B131" s="100"/>
      <c r="D131" s="112" t="s">
        <v>111</v>
      </c>
      <c r="E131" s="112"/>
      <c r="F131" s="193"/>
      <c r="G131" s="193"/>
      <c r="H131" s="193"/>
      <c r="I131" s="193"/>
      <c r="J131" s="112"/>
      <c r="K131" s="112"/>
      <c r="L131" s="112"/>
      <c r="M131" s="112"/>
      <c r="N131" s="258">
        <f>SUM(N132:Q132)</f>
        <v>0</v>
      </c>
      <c r="O131" s="258"/>
      <c r="P131" s="258"/>
      <c r="Q131" s="258"/>
      <c r="R131" s="102"/>
      <c r="T131" s="114"/>
      <c r="W131" s="115"/>
      <c r="Y131" s="115"/>
      <c r="AA131" s="116"/>
      <c r="AR131" s="164"/>
      <c r="AT131" s="164"/>
      <c r="AU131" s="164"/>
      <c r="AY131" s="164"/>
      <c r="BK131" s="117"/>
    </row>
    <row r="132" spans="1:63" s="7" customFormat="1" ht="49.5" customHeight="1" x14ac:dyDescent="0.3">
      <c r="B132" s="21"/>
      <c r="C132" s="120">
        <f>C130+1</f>
        <v>11</v>
      </c>
      <c r="D132" s="120"/>
      <c r="E132" s="156"/>
      <c r="F132" s="241" t="s">
        <v>229</v>
      </c>
      <c r="G132" s="242"/>
      <c r="H132" s="242"/>
      <c r="I132" s="243"/>
      <c r="J132" s="159" t="s">
        <v>103</v>
      </c>
      <c r="K132" s="121">
        <v>7</v>
      </c>
      <c r="L132" s="246">
        <v>0</v>
      </c>
      <c r="M132" s="247"/>
      <c r="N132" s="248">
        <f>ROUND(L132*K132,2)</f>
        <v>0</v>
      </c>
      <c r="O132" s="249"/>
      <c r="P132" s="249"/>
      <c r="Q132" s="250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1:63" s="7" customFormat="1" ht="20.100000000000001" customHeight="1" x14ac:dyDescent="0.3">
      <c r="B133" s="21"/>
      <c r="C133" s="107"/>
      <c r="D133" s="112" t="s">
        <v>204</v>
      </c>
      <c r="E133" s="112"/>
      <c r="F133" s="193"/>
      <c r="G133" s="193"/>
      <c r="H133" s="193"/>
      <c r="I133" s="193"/>
      <c r="J133" s="112"/>
      <c r="K133" s="112"/>
      <c r="L133" s="112"/>
      <c r="M133" s="112"/>
      <c r="N133" s="258">
        <f>SUM(N134:Q134)</f>
        <v>0</v>
      </c>
      <c r="O133" s="258"/>
      <c r="P133" s="258"/>
      <c r="Q133" s="258"/>
      <c r="R133" s="22"/>
      <c r="T133" s="108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1:63" s="7" customFormat="1" ht="42" customHeight="1" x14ac:dyDescent="0.3">
      <c r="B134" s="21"/>
      <c r="C134" s="120">
        <f>C132+1</f>
        <v>12</v>
      </c>
      <c r="D134" s="120"/>
      <c r="E134" s="156"/>
      <c r="F134" s="241" t="s">
        <v>182</v>
      </c>
      <c r="G134" s="242"/>
      <c r="H134" s="242"/>
      <c r="I134" s="243"/>
      <c r="J134" s="159" t="s">
        <v>100</v>
      </c>
      <c r="K134" s="154">
        <v>1</v>
      </c>
      <c r="L134" s="246">
        <v>0</v>
      </c>
      <c r="M134" s="247"/>
      <c r="N134" s="248">
        <f>ROUND(L134*K134,2)</f>
        <v>0</v>
      </c>
      <c r="O134" s="249"/>
      <c r="P134" s="249"/>
      <c r="Q134" s="250"/>
      <c r="R134" s="22"/>
      <c r="T134" s="103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1:63" s="113" customFormat="1" ht="24.95" customHeight="1" x14ac:dyDescent="0.35">
      <c r="B135" s="100"/>
      <c r="D135" s="101" t="s">
        <v>116</v>
      </c>
      <c r="E135" s="101"/>
      <c r="F135" s="192"/>
      <c r="G135" s="192"/>
      <c r="H135" s="192"/>
      <c r="I135" s="192"/>
      <c r="J135" s="101"/>
      <c r="K135" s="101"/>
      <c r="L135" s="101"/>
      <c r="M135" s="101"/>
      <c r="N135" s="240">
        <f>N139+N136</f>
        <v>0</v>
      </c>
      <c r="O135" s="240"/>
      <c r="P135" s="240"/>
      <c r="Q135" s="240"/>
      <c r="R135" s="102"/>
      <c r="T135" s="114"/>
      <c r="W135" s="115"/>
      <c r="Y135" s="115"/>
      <c r="AA135" s="116"/>
      <c r="AR135" s="164"/>
      <c r="AT135" s="164"/>
      <c r="AU135" s="164"/>
      <c r="AY135" s="164"/>
      <c r="BK135" s="117"/>
    </row>
    <row r="136" spans="1:63" s="113" customFormat="1" ht="20.100000000000001" customHeight="1" x14ac:dyDescent="0.3">
      <c r="B136" s="100"/>
      <c r="D136" s="112" t="s">
        <v>113</v>
      </c>
      <c r="E136" s="112"/>
      <c r="F136" s="193"/>
      <c r="G136" s="193"/>
      <c r="H136" s="193"/>
      <c r="I136" s="193"/>
      <c r="J136" s="112"/>
      <c r="K136" s="112"/>
      <c r="L136" s="112"/>
      <c r="M136" s="112"/>
      <c r="N136" s="253">
        <f>SUM(N137:Q138)</f>
        <v>0</v>
      </c>
      <c r="O136" s="253"/>
      <c r="P136" s="253"/>
      <c r="Q136" s="253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1:63" s="7" customFormat="1" ht="54" customHeight="1" x14ac:dyDescent="0.3">
      <c r="B137" s="21"/>
      <c r="C137" s="120">
        <f>C134+1</f>
        <v>13</v>
      </c>
      <c r="D137" s="120"/>
      <c r="E137" s="156"/>
      <c r="F137" s="241" t="s">
        <v>167</v>
      </c>
      <c r="G137" s="242"/>
      <c r="H137" s="242"/>
      <c r="I137" s="243"/>
      <c r="J137" s="159" t="s">
        <v>100</v>
      </c>
      <c r="K137" s="121">
        <v>1</v>
      </c>
      <c r="L137" s="246">
        <v>0</v>
      </c>
      <c r="M137" s="247"/>
      <c r="N137" s="248">
        <f>ROUND(L137*K137,2)</f>
        <v>0</v>
      </c>
      <c r="O137" s="249"/>
      <c r="P137" s="249"/>
      <c r="Q137" s="250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1:63" s="7" customFormat="1" ht="45" customHeight="1" x14ac:dyDescent="0.3">
      <c r="B138" s="21"/>
      <c r="C138" s="120">
        <f>C137+1</f>
        <v>14</v>
      </c>
      <c r="D138" s="120"/>
      <c r="E138" s="156"/>
      <c r="F138" s="241" t="s">
        <v>166</v>
      </c>
      <c r="G138" s="242"/>
      <c r="H138" s="242"/>
      <c r="I138" s="243"/>
      <c r="J138" s="159" t="s">
        <v>100</v>
      </c>
      <c r="K138" s="121">
        <v>1</v>
      </c>
      <c r="L138" s="246">
        <v>0</v>
      </c>
      <c r="M138" s="247"/>
      <c r="N138" s="248">
        <f>ROUND(L138*K138,2)</f>
        <v>0</v>
      </c>
      <c r="O138" s="249"/>
      <c r="P138" s="249"/>
      <c r="Q138" s="250"/>
      <c r="R138" s="22"/>
      <c r="T138" s="103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1:63" s="113" customFormat="1" ht="20.100000000000001" customHeight="1" x14ac:dyDescent="0.3">
      <c r="B139" s="100"/>
      <c r="D139" s="112" t="s">
        <v>156</v>
      </c>
      <c r="E139" s="112"/>
      <c r="F139" s="193"/>
      <c r="G139" s="193"/>
      <c r="H139" s="193"/>
      <c r="I139" s="193"/>
      <c r="J139" s="112"/>
      <c r="K139" s="112"/>
      <c r="L139" s="112"/>
      <c r="M139" s="112"/>
      <c r="N139" s="258">
        <f>SUM(N140:Q141)</f>
        <v>0</v>
      </c>
      <c r="O139" s="258"/>
      <c r="P139" s="258"/>
      <c r="Q139" s="258"/>
      <c r="R139" s="102"/>
      <c r="T139" s="114"/>
      <c r="W139" s="115"/>
      <c r="Y139" s="115"/>
      <c r="AA139" s="116"/>
      <c r="AR139" s="164"/>
      <c r="AT139" s="164"/>
      <c r="AU139" s="164"/>
      <c r="AY139" s="164"/>
      <c r="BK139" s="117"/>
    </row>
    <row r="140" spans="1:63" s="7" customFormat="1" ht="72.75" customHeight="1" x14ac:dyDescent="0.3">
      <c r="B140" s="21"/>
      <c r="C140" s="120">
        <f>C138+1</f>
        <v>15</v>
      </c>
      <c r="D140" s="120"/>
      <c r="E140" s="155"/>
      <c r="F140" s="241" t="s">
        <v>165</v>
      </c>
      <c r="G140" s="242"/>
      <c r="H140" s="242"/>
      <c r="I140" s="243"/>
      <c r="J140" s="158" t="s">
        <v>100</v>
      </c>
      <c r="K140" s="121">
        <v>1</v>
      </c>
      <c r="L140" s="246">
        <v>0</v>
      </c>
      <c r="M140" s="247"/>
      <c r="N140" s="248">
        <f>ROUND(L140*K140,2)</f>
        <v>0</v>
      </c>
      <c r="O140" s="249"/>
      <c r="P140" s="249"/>
      <c r="Q140" s="250"/>
      <c r="R140" s="22"/>
      <c r="T140" s="108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1:63" s="7" customFormat="1" ht="56.25" customHeight="1" x14ac:dyDescent="0.3">
      <c r="B141" s="21"/>
      <c r="C141" s="120">
        <f>C140+1</f>
        <v>16</v>
      </c>
      <c r="D141" s="120"/>
      <c r="E141" s="155"/>
      <c r="F141" s="241" t="s">
        <v>149</v>
      </c>
      <c r="G141" s="242"/>
      <c r="H141" s="242"/>
      <c r="I141" s="243"/>
      <c r="J141" s="159" t="s">
        <v>100</v>
      </c>
      <c r="K141" s="121">
        <v>1</v>
      </c>
      <c r="L141" s="246">
        <v>0</v>
      </c>
      <c r="M141" s="247"/>
      <c r="N141" s="248">
        <f>ROUND(L141*K141,2)</f>
        <v>0</v>
      </c>
      <c r="O141" s="249"/>
      <c r="P141" s="249"/>
      <c r="Q141" s="250"/>
      <c r="R141" s="22"/>
      <c r="T141" s="108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1:63" s="7" customFormat="1" ht="24.95" customHeight="1" x14ac:dyDescent="0.35">
      <c r="B142" s="21"/>
      <c r="C142" s="107"/>
      <c r="D142" s="101" t="s">
        <v>178</v>
      </c>
      <c r="E142" s="101"/>
      <c r="F142" s="192"/>
      <c r="G142" s="192"/>
      <c r="H142" s="192"/>
      <c r="I142" s="192"/>
      <c r="J142" s="101"/>
      <c r="K142" s="101"/>
      <c r="L142" s="101"/>
      <c r="M142" s="101"/>
      <c r="N142" s="240">
        <f>N143+N145</f>
        <v>0</v>
      </c>
      <c r="O142" s="240"/>
      <c r="P142" s="240"/>
      <c r="Q142" s="240"/>
      <c r="R142" s="22"/>
      <c r="T142" s="26"/>
      <c r="U142" s="27"/>
      <c r="V142" s="119"/>
      <c r="W142" s="119"/>
      <c r="X142" s="119"/>
      <c r="Y142" s="119"/>
      <c r="Z142" s="119"/>
      <c r="AA142" s="119"/>
      <c r="BE142" s="80"/>
      <c r="BF142" s="80"/>
      <c r="BG142" s="80"/>
      <c r="BH142" s="80"/>
      <c r="BI142" s="80"/>
      <c r="BK142" s="80"/>
    </row>
    <row r="143" spans="1:63" ht="20.100000000000001" customHeight="1" x14ac:dyDescent="0.3">
      <c r="A143" s="133"/>
      <c r="B143" s="21"/>
      <c r="C143" s="107"/>
      <c r="D143" s="112" t="s">
        <v>177</v>
      </c>
      <c r="E143" s="112"/>
      <c r="F143" s="193"/>
      <c r="G143" s="193"/>
      <c r="H143" s="193"/>
      <c r="I143" s="193"/>
      <c r="J143" s="112"/>
      <c r="K143" s="112"/>
      <c r="L143" s="112"/>
      <c r="M143" s="112"/>
      <c r="N143" s="253">
        <f>SUM(N144)</f>
        <v>0</v>
      </c>
      <c r="O143" s="253"/>
      <c r="P143" s="253"/>
      <c r="Q143" s="253"/>
      <c r="R143" s="22"/>
    </row>
    <row r="144" spans="1:63" ht="75" customHeight="1" x14ac:dyDescent="0.3">
      <c r="B144" s="21"/>
      <c r="C144" s="143">
        <f>C141+1</f>
        <v>17</v>
      </c>
      <c r="D144" s="144"/>
      <c r="E144" s="157"/>
      <c r="F144" s="241" t="s">
        <v>220</v>
      </c>
      <c r="G144" s="242"/>
      <c r="H144" s="242"/>
      <c r="I144" s="243"/>
      <c r="J144" s="160" t="s">
        <v>100</v>
      </c>
      <c r="K144" s="145">
        <v>1</v>
      </c>
      <c r="L144" s="254">
        <v>0</v>
      </c>
      <c r="M144" s="255"/>
      <c r="N144" s="248">
        <f>ROUND(L144*K144,2)</f>
        <v>0</v>
      </c>
      <c r="O144" s="249"/>
      <c r="P144" s="249"/>
      <c r="Q144" s="250"/>
      <c r="R144" s="22"/>
    </row>
    <row r="145" spans="1:63" ht="20.100000000000001" customHeight="1" x14ac:dyDescent="0.3">
      <c r="A145" s="133"/>
      <c r="B145" s="21"/>
      <c r="C145" s="107"/>
      <c r="D145" s="112" t="s">
        <v>205</v>
      </c>
      <c r="E145" s="112"/>
      <c r="F145" s="193"/>
      <c r="G145" s="193"/>
      <c r="H145" s="193"/>
      <c r="I145" s="193"/>
      <c r="J145" s="112"/>
      <c r="K145" s="112"/>
      <c r="L145" s="112"/>
      <c r="M145" s="112"/>
      <c r="N145" s="253">
        <f>SUM(N146:Q146)</f>
        <v>0</v>
      </c>
      <c r="O145" s="253"/>
      <c r="P145" s="253"/>
      <c r="Q145" s="253"/>
      <c r="R145" s="22"/>
    </row>
    <row r="146" spans="1:63" ht="76.5" customHeight="1" x14ac:dyDescent="0.3">
      <c r="B146" s="21"/>
      <c r="C146" s="143">
        <f>C144+1</f>
        <v>18</v>
      </c>
      <c r="D146" s="144"/>
      <c r="E146" s="157"/>
      <c r="F146" s="241" t="s">
        <v>221</v>
      </c>
      <c r="G146" s="242"/>
      <c r="H146" s="242"/>
      <c r="I146" s="243"/>
      <c r="J146" s="160" t="s">
        <v>100</v>
      </c>
      <c r="K146" s="145">
        <v>1</v>
      </c>
      <c r="L146" s="254">
        <v>0</v>
      </c>
      <c r="M146" s="255"/>
      <c r="N146" s="248">
        <f>ROUND(L146*K146,2)</f>
        <v>0</v>
      </c>
      <c r="O146" s="249"/>
      <c r="P146" s="249"/>
      <c r="Q146" s="250"/>
      <c r="R146" s="22"/>
    </row>
    <row r="147" spans="1:63" s="7" customFormat="1" ht="24.95" customHeight="1" x14ac:dyDescent="0.35">
      <c r="B147" s="21"/>
      <c r="C147" s="107"/>
      <c r="D147" s="101" t="s">
        <v>206</v>
      </c>
      <c r="E147" s="101"/>
      <c r="F147" s="192"/>
      <c r="G147" s="192"/>
      <c r="H147" s="192"/>
      <c r="I147" s="192"/>
      <c r="J147" s="101"/>
      <c r="K147" s="101"/>
      <c r="L147" s="101"/>
      <c r="M147" s="101"/>
      <c r="N147" s="240">
        <f>N148</f>
        <v>0</v>
      </c>
      <c r="O147" s="240"/>
      <c r="P147" s="240"/>
      <c r="Q147" s="240"/>
      <c r="R147" s="22"/>
      <c r="T147" s="26"/>
      <c r="U147" s="27"/>
      <c r="V147" s="119"/>
      <c r="W147" s="119"/>
      <c r="X147" s="119"/>
      <c r="Y147" s="119"/>
      <c r="Z147" s="119"/>
      <c r="AA147" s="119"/>
      <c r="BE147" s="80"/>
      <c r="BF147" s="80"/>
      <c r="BG147" s="80"/>
      <c r="BH147" s="80"/>
      <c r="BI147" s="80"/>
      <c r="BK147" s="80"/>
    </row>
    <row r="148" spans="1:63" ht="20.100000000000001" customHeight="1" x14ac:dyDescent="0.3">
      <c r="A148" s="133"/>
      <c r="B148" s="21"/>
      <c r="C148" s="107"/>
      <c r="D148" s="112" t="s">
        <v>207</v>
      </c>
      <c r="E148" s="112"/>
      <c r="F148" s="193"/>
      <c r="G148" s="193"/>
      <c r="H148" s="193"/>
      <c r="I148" s="193"/>
      <c r="J148" s="112"/>
      <c r="K148" s="112"/>
      <c r="L148" s="112"/>
      <c r="M148" s="112"/>
      <c r="N148" s="253">
        <f>SUM(N149:Q149)</f>
        <v>0</v>
      </c>
      <c r="O148" s="253"/>
      <c r="P148" s="253"/>
      <c r="Q148" s="253"/>
      <c r="R148" s="22"/>
    </row>
    <row r="149" spans="1:63" ht="83.25" customHeight="1" x14ac:dyDescent="0.3">
      <c r="B149" s="21"/>
      <c r="C149" s="143">
        <f>C146+1</f>
        <v>19</v>
      </c>
      <c r="D149" s="144"/>
      <c r="E149" s="157"/>
      <c r="F149" s="241" t="s">
        <v>245</v>
      </c>
      <c r="G149" s="242"/>
      <c r="H149" s="242"/>
      <c r="I149" s="243"/>
      <c r="J149" s="160" t="s">
        <v>100</v>
      </c>
      <c r="K149" s="145">
        <v>1</v>
      </c>
      <c r="L149" s="254">
        <v>0</v>
      </c>
      <c r="M149" s="255"/>
      <c r="N149" s="248">
        <f>ROUND(L149*K149,2)</f>
        <v>0</v>
      </c>
      <c r="O149" s="249"/>
      <c r="P149" s="249"/>
      <c r="Q149" s="250"/>
      <c r="R149" s="22"/>
    </row>
    <row r="150" spans="1:63" ht="14.25" customHeight="1" x14ac:dyDescent="0.3"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110"/>
    </row>
  </sheetData>
  <sheetProtection algorithmName="SHA-512" hashValue="dwUuTZCXPTBIlqedht8tMo97uSiQuR88RSqeJhEj1x1AIXAZ8BpjI9A26/ogpijXFEGGcAveilWK3UeYA7+TcA==" saltValue="Q5zFp/thUTUOQ/hGhJyVtw==" spinCount="100000" sheet="1" objects="1" scenarios="1" selectLockedCells="1"/>
  <mergeCells count="135"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H1:K1"/>
    <mergeCell ref="N118:Q118"/>
    <mergeCell ref="H31:J31"/>
    <mergeCell ref="M31:P31"/>
    <mergeCell ref="H32:J32"/>
    <mergeCell ref="M32:P32"/>
    <mergeCell ref="F102:P102"/>
    <mergeCell ref="L115:M115"/>
    <mergeCell ref="L118:M118"/>
    <mergeCell ref="M106:P106"/>
    <mergeCell ref="F81:K81"/>
    <mergeCell ref="L35:P35"/>
    <mergeCell ref="C75:Q75"/>
    <mergeCell ref="F77:P77"/>
    <mergeCell ref="F78:P78"/>
    <mergeCell ref="F79:P79"/>
    <mergeCell ref="M81:P81"/>
    <mergeCell ref="C100:Q100"/>
    <mergeCell ref="N91:Q91"/>
    <mergeCell ref="N115:Q115"/>
    <mergeCell ref="N112:Q112"/>
    <mergeCell ref="N113:Q113"/>
    <mergeCell ref="N114:Q114"/>
    <mergeCell ref="C86:G86"/>
    <mergeCell ref="N128:Q128"/>
    <mergeCell ref="L94:Q94"/>
    <mergeCell ref="F115:I115"/>
    <mergeCell ref="L111:M111"/>
    <mergeCell ref="N111:Q111"/>
    <mergeCell ref="F103:P103"/>
    <mergeCell ref="F104:P104"/>
    <mergeCell ref="M109:Q109"/>
    <mergeCell ref="N117:Q117"/>
    <mergeCell ref="N120:Q120"/>
    <mergeCell ref="M108:Q108"/>
    <mergeCell ref="F116:I116"/>
    <mergeCell ref="L116:M116"/>
    <mergeCell ref="N116:Q116"/>
    <mergeCell ref="F118:I118"/>
    <mergeCell ref="L119:M119"/>
    <mergeCell ref="F119:I119"/>
    <mergeCell ref="N119:Q119"/>
    <mergeCell ref="F111:I111"/>
    <mergeCell ref="F132:I132"/>
    <mergeCell ref="L130:M130"/>
    <mergeCell ref="L129:M129"/>
    <mergeCell ref="F130:I130"/>
    <mergeCell ref="N137:Q137"/>
    <mergeCell ref="L134:M134"/>
    <mergeCell ref="N134:Q134"/>
    <mergeCell ref="F134:I134"/>
    <mergeCell ref="N133:Q133"/>
    <mergeCell ref="N132:Q132"/>
    <mergeCell ref="L137:M137"/>
    <mergeCell ref="N148:Q148"/>
    <mergeCell ref="F149:I149"/>
    <mergeCell ref="L149:M149"/>
    <mergeCell ref="N149:Q149"/>
    <mergeCell ref="N92:Q92"/>
    <mergeCell ref="F146:I146"/>
    <mergeCell ref="L146:M146"/>
    <mergeCell ref="N145:Q145"/>
    <mergeCell ref="N146:Q146"/>
    <mergeCell ref="F144:I144"/>
    <mergeCell ref="L144:M144"/>
    <mergeCell ref="N144:Q144"/>
    <mergeCell ref="N143:Q143"/>
    <mergeCell ref="N130:Q130"/>
    <mergeCell ref="N127:Q127"/>
    <mergeCell ref="N131:Q131"/>
    <mergeCell ref="N140:Q140"/>
    <mergeCell ref="N139:Q139"/>
    <mergeCell ref="N136:Q136"/>
    <mergeCell ref="L138:M138"/>
    <mergeCell ref="F129:I129"/>
    <mergeCell ref="N129:Q129"/>
    <mergeCell ref="N123:Q123"/>
    <mergeCell ref="N125:Q125"/>
    <mergeCell ref="N142:Q142"/>
    <mergeCell ref="F137:I137"/>
    <mergeCell ref="N121:Q121"/>
    <mergeCell ref="F121:I121"/>
    <mergeCell ref="L121:M121"/>
    <mergeCell ref="N147:Q147"/>
    <mergeCell ref="F126:I126"/>
    <mergeCell ref="L126:M126"/>
    <mergeCell ref="N126:Q126"/>
    <mergeCell ref="F122:I122"/>
    <mergeCell ref="L124:M124"/>
    <mergeCell ref="N141:Q141"/>
    <mergeCell ref="L140:M140"/>
    <mergeCell ref="F138:I138"/>
    <mergeCell ref="N138:Q138"/>
    <mergeCell ref="F141:I141"/>
    <mergeCell ref="L141:M141"/>
    <mergeCell ref="F124:I124"/>
    <mergeCell ref="N124:Q124"/>
    <mergeCell ref="N122:Q122"/>
    <mergeCell ref="L122:M122"/>
    <mergeCell ref="N135:Q135"/>
    <mergeCell ref="F140:I140"/>
    <mergeCell ref="L132:M132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A1:BK119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3" sqref="L113:M113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29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20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29" ht="24.95" customHeight="1" x14ac:dyDescent="0.3">
      <c r="B7" s="11"/>
      <c r="D7" s="18" t="s">
        <v>75</v>
      </c>
      <c r="F7" s="270" t="str">
        <f>Rekapitulace!J88</f>
        <v>Umístění nové prefabrikované trafostanice o výkonu 1 000 kVA, včetně vybavení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Rekapitulace!J88</f>
        <v>Umístění nové prefabrikované trafostanice o výkonu 1 000 kVA, včetně vybavení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9" t="str">
        <f>Rekapitulace!L79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$N$88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(H29)*$F$29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08"/>
      <c r="J30" s="208"/>
      <c r="M30" s="272"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(SUM($BG$91:$BG$91)+SUM($BG$110:$BG$114))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(SUM($BH$91:$BH$91)+SUM($BH$110:$BH$114))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(SUM($BI$91:$BI$91)+SUM($BI$110:$BI$114))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R77" s="22"/>
    </row>
    <row r="78" spans="2:18" ht="24.95" customHeight="1" x14ac:dyDescent="0.3">
      <c r="B78" s="11"/>
      <c r="C78" s="18" t="s">
        <v>75</v>
      </c>
      <c r="F78" s="270" t="str">
        <f>F7</f>
        <v>Umístění nové prefabrikované trafostanice o výkonu 1 000 kVA, včetně vybavení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12"/>
    </row>
    <row r="79" spans="2:18" s="7" customFormat="1" ht="37.5" customHeight="1" x14ac:dyDescent="0.3">
      <c r="B79" s="21"/>
      <c r="C79" s="50" t="s">
        <v>76</v>
      </c>
      <c r="F79" s="234" t="str">
        <f>F8</f>
        <v>Umístění nové prefabrikované trafostanice o výkonu 1 000 kVA, včetně vybavení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12">
        <f>ROUND($N$110,2)</f>
        <v>0</v>
      </c>
      <c r="O88" s="208"/>
      <c r="P88" s="208"/>
      <c r="Q88" s="208"/>
      <c r="R88" s="22"/>
    </row>
    <row r="89" spans="2:18" s="63" customFormat="1" ht="20.100000000000001" customHeight="1" x14ac:dyDescent="0.35">
      <c r="B89" s="89"/>
      <c r="D89" s="101" t="str">
        <f>D111</f>
        <v xml:space="preserve">Nová trafostanice </v>
      </c>
      <c r="N89" s="256">
        <f>$N$111</f>
        <v>0</v>
      </c>
      <c r="O89" s="257"/>
      <c r="P89" s="257"/>
      <c r="Q89" s="257"/>
      <c r="R89" s="90"/>
    </row>
    <row r="90" spans="2:18" s="63" customFormat="1" ht="20.100000000000001" customHeight="1" x14ac:dyDescent="0.35">
      <c r="B90" s="89"/>
      <c r="D90" s="101" t="str">
        <f>D116</f>
        <v>Terenní úpravy</v>
      </c>
      <c r="N90" s="256">
        <f>$N$116</f>
        <v>0</v>
      </c>
      <c r="O90" s="257"/>
      <c r="P90" s="257"/>
      <c r="Q90" s="257"/>
      <c r="R90" s="90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114</v>
      </c>
      <c r="D92" s="29"/>
      <c r="E92" s="29"/>
      <c r="F92" s="29"/>
      <c r="G92" s="29"/>
      <c r="H92" s="29"/>
      <c r="I92" s="29"/>
      <c r="J92" s="29"/>
      <c r="K92" s="29"/>
      <c r="L92" s="238">
        <f>ROUND(SUM($N$89:$Q$90),2)</f>
        <v>0</v>
      </c>
      <c r="M92" s="239"/>
      <c r="N92" s="239"/>
      <c r="O92" s="239"/>
      <c r="P92" s="239"/>
      <c r="Q92" s="239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07" t="s">
        <v>83</v>
      </c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0" t="str">
        <f>$F$6</f>
        <v>Instalace nové fotovoltaické elektrárny s výkonem 991,9 kWp v areálu Litvínov společnosti ČEPRO, a.s.</v>
      </c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R100" s="131"/>
    </row>
    <row r="101" spans="2:63" ht="24.95" customHeight="1" x14ac:dyDescent="0.3">
      <c r="B101" s="132"/>
      <c r="C101" s="18" t="s">
        <v>75</v>
      </c>
      <c r="F101" s="270" t="str">
        <f>F7</f>
        <v>Umístění nové prefabrikované trafostanice o výkonu 1 000 kVA, včetně vybavení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3"/>
    </row>
    <row r="102" spans="2:63" s="7" customFormat="1" ht="37.5" customHeight="1" x14ac:dyDescent="0.3">
      <c r="B102" s="130"/>
      <c r="C102" s="50" t="s">
        <v>76</v>
      </c>
      <c r="F102" s="234" t="str">
        <f>F8</f>
        <v>Umístění nové prefabrikované trafostanice o výkonu 1 000 kVA, včetně vybavení</v>
      </c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Litvínov</v>
      </c>
      <c r="L104" s="18" t="s">
        <v>16</v>
      </c>
      <c r="M104" s="235">
        <f ca="1">IF($O$10="","",$O$10)</f>
        <v>45238</v>
      </c>
      <c r="N104" s="208"/>
      <c r="O104" s="208"/>
      <c r="P104" s="208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9" t="str">
        <f>$E$19</f>
        <v>YOUNG4ENERGY s.r.o.</v>
      </c>
      <c r="N106" s="208"/>
      <c r="O106" s="208"/>
      <c r="P106" s="208"/>
      <c r="Q106" s="208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9" t="str">
        <f>$E$22</f>
        <v>YOUNG4ENERGY s.r.o.</v>
      </c>
      <c r="N107" s="208"/>
      <c r="O107" s="208"/>
      <c r="P107" s="208"/>
      <c r="Q107" s="208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7" t="s">
        <v>86</v>
      </c>
      <c r="G109" s="268"/>
      <c r="H109" s="268"/>
      <c r="I109" s="268"/>
      <c r="J109" s="165" t="s">
        <v>87</v>
      </c>
      <c r="K109" s="165" t="s">
        <v>88</v>
      </c>
      <c r="L109" s="267" t="s">
        <v>89</v>
      </c>
      <c r="M109" s="268"/>
      <c r="N109" s="267" t="s">
        <v>90</v>
      </c>
      <c r="O109" s="268"/>
      <c r="P109" s="268"/>
      <c r="Q109" s="269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12">
        <f>N111+N116</f>
        <v>0</v>
      </c>
      <c r="O110" s="208"/>
      <c r="P110" s="208"/>
      <c r="Q110" s="208"/>
      <c r="R110" s="131"/>
      <c r="T110" s="57"/>
      <c r="U110" s="34"/>
      <c r="V110" s="34"/>
      <c r="W110" s="97" t="e">
        <f>$W$111+#REF!+#REF!</f>
        <v>#REF!</v>
      </c>
      <c r="X110" s="34"/>
      <c r="Y110" s="97" t="e">
        <f>$Y$111+#REF!+#REF!</f>
        <v>#REF!</v>
      </c>
      <c r="Z110" s="34"/>
      <c r="AA110" s="98" t="e">
        <f>$AA$111+#REF!+#REF!</f>
        <v>#REF!</v>
      </c>
      <c r="BK110" s="99"/>
    </row>
    <row r="111" spans="2:63" s="113" customFormat="1" ht="24.95" customHeight="1" x14ac:dyDescent="0.35">
      <c r="B111" s="136"/>
      <c r="D111" s="101" t="s">
        <v>197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276">
        <f>N112</f>
        <v>0</v>
      </c>
      <c r="O111" s="263"/>
      <c r="P111" s="263"/>
      <c r="Q111" s="263"/>
      <c r="R111" s="137"/>
      <c r="T111" s="114"/>
      <c r="W111" s="115" t="e">
        <f>$W$112+#REF!+#REF!+#REF!+#REF!+#REF!</f>
        <v>#REF!</v>
      </c>
      <c r="Y111" s="115" t="e">
        <f>$Y$112+#REF!+#REF!+#REF!+#REF!+#REF!</f>
        <v>#REF!</v>
      </c>
      <c r="AA111" s="116" t="e">
        <f>$AA$112+#REF!+#REF!+#REF!+#REF!+#REF!</f>
        <v>#REF!</v>
      </c>
      <c r="AR111" s="164"/>
      <c r="AT111" s="164"/>
      <c r="AU111" s="164"/>
      <c r="AY111" s="164"/>
      <c r="BK111" s="117"/>
    </row>
    <row r="112" spans="2:63" s="113" customFormat="1" ht="20.100000000000001" customHeight="1" x14ac:dyDescent="0.3">
      <c r="B112" s="136"/>
      <c r="D112" s="112" t="s">
        <v>198</v>
      </c>
      <c r="E112" s="112"/>
      <c r="F112" s="112"/>
      <c r="G112" s="112"/>
      <c r="H112" s="112"/>
      <c r="I112" s="112"/>
      <c r="J112" s="112"/>
      <c r="K112" s="112"/>
      <c r="L112" s="112"/>
      <c r="M112" s="112"/>
      <c r="N112" s="262">
        <f>SUM(N113:Q115)</f>
        <v>0</v>
      </c>
      <c r="O112" s="263"/>
      <c r="P112" s="263"/>
      <c r="Q112" s="263"/>
      <c r="R112" s="137"/>
      <c r="T112" s="114"/>
      <c r="W112" s="115">
        <f>SUM($W$114:$W$114)</f>
        <v>0</v>
      </c>
      <c r="Y112" s="115">
        <f>SUM($Y$114:$Y$114)</f>
        <v>0</v>
      </c>
      <c r="AA112" s="116">
        <f>SUM($AA$114:$AA$114)</f>
        <v>0</v>
      </c>
      <c r="AR112" s="164"/>
      <c r="AT112" s="164"/>
      <c r="AU112" s="164"/>
      <c r="AY112" s="164"/>
      <c r="BK112" s="117"/>
    </row>
    <row r="113" spans="1:63" s="113" customFormat="1" ht="315.75" customHeight="1" x14ac:dyDescent="0.3">
      <c r="B113" s="136"/>
      <c r="C113" s="150">
        <v>1</v>
      </c>
      <c r="D113" s="150"/>
      <c r="E113" s="161"/>
      <c r="F113" s="284" t="s">
        <v>228</v>
      </c>
      <c r="G113" s="285" t="s">
        <v>199</v>
      </c>
      <c r="H113" s="285" t="s">
        <v>199</v>
      </c>
      <c r="I113" s="285" t="s">
        <v>199</v>
      </c>
      <c r="J113" s="162" t="s">
        <v>100</v>
      </c>
      <c r="K113" s="151">
        <v>1</v>
      </c>
      <c r="L113" s="286">
        <v>0</v>
      </c>
      <c r="M113" s="286"/>
      <c r="N113" s="290">
        <f>ROUND(L113*K113,2)</f>
        <v>0</v>
      </c>
      <c r="O113" s="290"/>
      <c r="P113" s="290"/>
      <c r="Q113" s="290"/>
      <c r="R113" s="137"/>
      <c r="T113" s="114"/>
      <c r="W113" s="115"/>
      <c r="Y113" s="115"/>
      <c r="AA113" s="116"/>
      <c r="AR113" s="164"/>
      <c r="AT113" s="164"/>
      <c r="AU113" s="164"/>
      <c r="AY113" s="164"/>
      <c r="BK113" s="117"/>
    </row>
    <row r="114" spans="1:63" s="125" customFormat="1" ht="64.5" customHeight="1" x14ac:dyDescent="0.3">
      <c r="B114" s="149"/>
      <c r="C114" s="150">
        <f>C113+1</f>
        <v>2</v>
      </c>
      <c r="D114" s="150"/>
      <c r="E114" s="161"/>
      <c r="F114" s="264" t="s">
        <v>208</v>
      </c>
      <c r="G114" s="265"/>
      <c r="H114" s="265"/>
      <c r="I114" s="266"/>
      <c r="J114" s="162" t="s">
        <v>100</v>
      </c>
      <c r="K114" s="151">
        <v>1</v>
      </c>
      <c r="L114" s="286">
        <v>0</v>
      </c>
      <c r="M114" s="286"/>
      <c r="N114" s="290">
        <f>ROUND(L114*K114,2)</f>
        <v>0</v>
      </c>
      <c r="O114" s="290"/>
      <c r="P114" s="290"/>
      <c r="Q114" s="290"/>
      <c r="R114" s="152"/>
      <c r="T114" s="108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1:63" s="125" customFormat="1" ht="116.25" customHeight="1" x14ac:dyDescent="0.3">
      <c r="B115" s="149"/>
      <c r="C115" s="150">
        <f>C114+1</f>
        <v>3</v>
      </c>
      <c r="D115" s="150"/>
      <c r="E115" s="161"/>
      <c r="F115" s="287" t="s">
        <v>215</v>
      </c>
      <c r="G115" s="288"/>
      <c r="H115" s="288"/>
      <c r="I115" s="289"/>
      <c r="J115" s="162" t="s">
        <v>100</v>
      </c>
      <c r="K115" s="151">
        <v>1</v>
      </c>
      <c r="L115" s="286">
        <v>0</v>
      </c>
      <c r="M115" s="286"/>
      <c r="N115" s="290">
        <f>ROUND(L115*K115,2)</f>
        <v>0</v>
      </c>
      <c r="O115" s="290"/>
      <c r="P115" s="290"/>
      <c r="Q115" s="290"/>
      <c r="R115" s="152"/>
      <c r="T115" s="103"/>
      <c r="U115" s="27"/>
      <c r="V115" s="119"/>
      <c r="W115" s="119"/>
      <c r="X115" s="119"/>
      <c r="Y115" s="119"/>
      <c r="Z115" s="119"/>
      <c r="AA115" s="104"/>
      <c r="BE115" s="153"/>
      <c r="BF115" s="153"/>
      <c r="BG115" s="153"/>
      <c r="BH115" s="153"/>
      <c r="BI115" s="153"/>
      <c r="BK115" s="153"/>
    </row>
    <row r="116" spans="1:63" s="7" customFormat="1" ht="24.95" customHeight="1" x14ac:dyDescent="0.35">
      <c r="B116" s="21"/>
      <c r="C116" s="107"/>
      <c r="D116" s="101" t="s">
        <v>206</v>
      </c>
      <c r="E116" s="101"/>
      <c r="F116" s="192"/>
      <c r="G116" s="192"/>
      <c r="H116" s="192"/>
      <c r="I116" s="192"/>
      <c r="J116" s="101"/>
      <c r="K116" s="101"/>
      <c r="L116" s="101"/>
      <c r="M116" s="101"/>
      <c r="N116" s="240">
        <f>N117</f>
        <v>0</v>
      </c>
      <c r="O116" s="240"/>
      <c r="P116" s="240"/>
      <c r="Q116" s="240"/>
      <c r="R116" s="22"/>
      <c r="T116" s="26"/>
      <c r="U116" s="27"/>
      <c r="V116" s="119"/>
      <c r="W116" s="119"/>
      <c r="X116" s="119"/>
      <c r="Y116" s="119"/>
      <c r="Z116" s="119"/>
      <c r="AA116" s="119"/>
      <c r="BE116" s="80"/>
      <c r="BF116" s="80"/>
      <c r="BG116" s="80"/>
      <c r="BH116" s="80"/>
      <c r="BI116" s="80"/>
      <c r="BK116" s="80"/>
    </row>
    <row r="117" spans="1:63" ht="20.100000000000001" customHeight="1" x14ac:dyDescent="0.3">
      <c r="A117" s="133"/>
      <c r="B117" s="21"/>
      <c r="C117" s="107"/>
      <c r="D117" s="112" t="s">
        <v>232</v>
      </c>
      <c r="E117" s="112"/>
      <c r="F117" s="193"/>
      <c r="G117" s="193"/>
      <c r="H117" s="193"/>
      <c r="I117" s="193"/>
      <c r="J117" s="112"/>
      <c r="K117" s="112"/>
      <c r="L117" s="112"/>
      <c r="M117" s="112"/>
      <c r="N117" s="253">
        <f>SUM(N118:Q118)</f>
        <v>0</v>
      </c>
      <c r="O117" s="253"/>
      <c r="P117" s="253"/>
      <c r="Q117" s="253"/>
      <c r="R117" s="22"/>
    </row>
    <row r="118" spans="1:63" ht="83.25" customHeight="1" x14ac:dyDescent="0.3">
      <c r="B118" s="21"/>
      <c r="C118" s="143">
        <f>C115+1</f>
        <v>4</v>
      </c>
      <c r="D118" s="144"/>
      <c r="E118" s="157"/>
      <c r="F118" s="241" t="s">
        <v>233</v>
      </c>
      <c r="G118" s="242"/>
      <c r="H118" s="242"/>
      <c r="I118" s="243"/>
      <c r="J118" s="160" t="s">
        <v>100</v>
      </c>
      <c r="K118" s="145">
        <v>1</v>
      </c>
      <c r="L118" s="286">
        <v>0</v>
      </c>
      <c r="M118" s="286"/>
      <c r="N118" s="290">
        <f t="shared" ref="N118" si="0">ROUND(L118*K118,2)</f>
        <v>0</v>
      </c>
      <c r="O118" s="290"/>
      <c r="P118" s="290"/>
      <c r="Q118" s="290"/>
      <c r="R118" s="22"/>
    </row>
    <row r="119" spans="1:63" ht="14.25" customHeight="1" x14ac:dyDescent="0.3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110"/>
    </row>
  </sheetData>
  <sheetProtection algorithmName="SHA-512" hashValue="W39p1K7B5zOiNKCLd0yn3PPKltc5aK9k0kzMzTwQXyKn+ZG4vn8MQjE8/HAmRkkxTjR/53UTOMHu0JgeT+/aNg==" saltValue="MEX9OyH4dMem8Qu9y+4y7A==" spinCount="100000" sheet="1" objects="1" scenarios="1" selectLockedCells="1"/>
  <mergeCells count="72">
    <mergeCell ref="N116:Q116"/>
    <mergeCell ref="N117:Q117"/>
    <mergeCell ref="F118:I118"/>
    <mergeCell ref="L118:M118"/>
    <mergeCell ref="N118:Q118"/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30:J30"/>
    <mergeCell ref="M30:P30"/>
    <mergeCell ref="O19:P19"/>
    <mergeCell ref="O21:P21"/>
    <mergeCell ref="O22:P22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L92:Q92"/>
    <mergeCell ref="C98:Q98"/>
    <mergeCell ref="M83:Q83"/>
    <mergeCell ref="M84:Q84"/>
    <mergeCell ref="C86:G86"/>
    <mergeCell ref="N86:Q86"/>
    <mergeCell ref="N88:Q88"/>
    <mergeCell ref="N89:Q89"/>
    <mergeCell ref="N90:Q90"/>
    <mergeCell ref="F100:P100"/>
    <mergeCell ref="F101:P101"/>
    <mergeCell ref="F102:P102"/>
    <mergeCell ref="M104:P104"/>
    <mergeCell ref="M106:Q106"/>
    <mergeCell ref="F113:I113"/>
    <mergeCell ref="M107:Q107"/>
    <mergeCell ref="F114:I114"/>
    <mergeCell ref="L114:M114"/>
    <mergeCell ref="F115:I115"/>
    <mergeCell ref="L115:M115"/>
    <mergeCell ref="N115:Q115"/>
    <mergeCell ref="N114:Q114"/>
    <mergeCell ref="F109:I109"/>
    <mergeCell ref="L109:M109"/>
    <mergeCell ref="N109:Q109"/>
    <mergeCell ref="N110:Q110"/>
    <mergeCell ref="N111:Q111"/>
    <mergeCell ref="N112:Q112"/>
    <mergeCell ref="L113:M113"/>
    <mergeCell ref="N113:Q113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F2AB7-5132-498C-8BD8-926859D2C0C4}">
  <dimension ref="B1:BK124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3" sqref="L123:M123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29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94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29" ht="24.95" customHeight="1" x14ac:dyDescent="0.3">
      <c r="B7" s="11"/>
      <c r="D7" s="18" t="s">
        <v>75</v>
      </c>
      <c r="F7" s="270" t="str">
        <f>Rekapitulace!J88</f>
        <v>Umístění nové prefabrikované trafostanice o výkonu 1 000 kVA, včetně vybavení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Rekapitulace!J89</f>
        <v>Oplocení včetně vrat a elektronické zabezpečovací služby a osvětlení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9" t="str">
        <f>Rekapitulace!L79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$N$88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(H29)*$F$29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08"/>
      <c r="J30" s="208"/>
      <c r="M30" s="272"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(SUM($BG$92:$BG$92)+SUM($BG$111:$BG$111))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(SUM($BH$92:$BH$92)+SUM($BH$111:$BH$111))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(SUM($BI$92:$BI$92)+SUM($BI$111:$BI$111))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R77" s="22"/>
    </row>
    <row r="78" spans="2:18" ht="24.95" customHeight="1" x14ac:dyDescent="0.3">
      <c r="B78" s="11"/>
      <c r="C78" s="18" t="s">
        <v>75</v>
      </c>
      <c r="F78" s="270" t="str">
        <f>F7</f>
        <v>Umístění nové prefabrikované trafostanice o výkonu 1 000 kVA, včetně vybavení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12"/>
    </row>
    <row r="79" spans="2:18" s="7" customFormat="1" ht="37.5" customHeight="1" x14ac:dyDescent="0.3">
      <c r="B79" s="21"/>
      <c r="C79" s="50" t="s">
        <v>76</v>
      </c>
      <c r="F79" s="234" t="str">
        <f>F8</f>
        <v>Oplocení včetně vrat a elektronické zabezpečovací služby a osvětlení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12">
        <f>ROUND($N$111,2)</f>
        <v>0</v>
      </c>
      <c r="O88" s="208"/>
      <c r="P88" s="208"/>
      <c r="Q88" s="208"/>
      <c r="R88" s="22"/>
    </row>
    <row r="89" spans="2:18" s="75" customFormat="1" ht="20.100000000000001" customHeight="1" x14ac:dyDescent="0.35">
      <c r="B89" s="91"/>
      <c r="D89" s="101" t="str">
        <f>D112</f>
        <v>Vytvoření oplocení nově budované pozemnní FVE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N112</f>
        <v>0</v>
      </c>
      <c r="O89" s="257"/>
      <c r="P89" s="257"/>
      <c r="Q89" s="257"/>
      <c r="R89" s="92"/>
    </row>
    <row r="90" spans="2:18" s="75" customFormat="1" ht="20.100000000000001" customHeight="1" x14ac:dyDescent="0.35">
      <c r="B90" s="91"/>
      <c r="D90" s="101" t="str">
        <f>D116</f>
        <v>Vytvoření elektronické zabezpečovací služby (EZS)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N116</f>
        <v>0</v>
      </c>
      <c r="O90" s="257"/>
      <c r="P90" s="257"/>
      <c r="Q90" s="257"/>
      <c r="R90" s="92"/>
    </row>
    <row r="91" spans="2:18" s="75" customFormat="1" ht="20.100000000000001" customHeight="1" x14ac:dyDescent="0.35">
      <c r="B91" s="91"/>
      <c r="D91" s="101" t="str">
        <f>D120</f>
        <v>Vytvoření systému osvětlení nově budované pozemní FVE</v>
      </c>
      <c r="E91" s="63"/>
      <c r="F91" s="63"/>
      <c r="G91" s="63"/>
      <c r="H91" s="63"/>
      <c r="I91" s="63"/>
      <c r="J91" s="63"/>
      <c r="K91" s="63"/>
      <c r="L91" s="63"/>
      <c r="M91" s="63"/>
      <c r="N91" s="256">
        <f>N120</f>
        <v>0</v>
      </c>
      <c r="O91" s="257"/>
      <c r="P91" s="257"/>
      <c r="Q91" s="257"/>
      <c r="R91" s="92"/>
    </row>
    <row r="92" spans="2:18" s="7" customFormat="1" ht="12" customHeight="1" x14ac:dyDescent="0.3">
      <c r="B92" s="21"/>
      <c r="R92" s="22"/>
    </row>
    <row r="93" spans="2:18" s="7" customFormat="1" ht="30" customHeight="1" x14ac:dyDescent="0.3">
      <c r="B93" s="21"/>
      <c r="C93" s="86" t="s">
        <v>114</v>
      </c>
      <c r="D93" s="29"/>
      <c r="E93" s="29"/>
      <c r="F93" s="29"/>
      <c r="G93" s="29"/>
      <c r="H93" s="29"/>
      <c r="I93" s="29"/>
      <c r="J93" s="29"/>
      <c r="K93" s="29"/>
      <c r="L93" s="238">
        <f>ROUND(SUM($N$89:$Q$91),2)</f>
        <v>0</v>
      </c>
      <c r="M93" s="239"/>
      <c r="N93" s="239"/>
      <c r="O93" s="239"/>
      <c r="P93" s="239"/>
      <c r="Q93" s="239"/>
      <c r="R93" s="22"/>
    </row>
    <row r="94" spans="2:18" s="7" customFormat="1" ht="7.5" customHeight="1" x14ac:dyDescent="0.3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4"/>
    </row>
    <row r="98" spans="2:63" s="7" customFormat="1" ht="7.5" customHeight="1" x14ac:dyDescent="0.3">
      <c r="B98" s="127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9"/>
    </row>
    <row r="99" spans="2:63" s="7" customFormat="1" ht="37.5" customHeight="1" x14ac:dyDescent="0.3">
      <c r="B99" s="130"/>
      <c r="C99" s="207" t="s">
        <v>83</v>
      </c>
      <c r="D99" s="208"/>
      <c r="E99" s="208"/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131"/>
    </row>
    <row r="100" spans="2:63" s="7" customFormat="1" ht="7.5" customHeight="1" x14ac:dyDescent="0.3">
      <c r="B100" s="130"/>
      <c r="R100" s="131"/>
    </row>
    <row r="101" spans="2:63" s="7" customFormat="1" ht="24.95" customHeight="1" x14ac:dyDescent="0.3">
      <c r="B101" s="130"/>
      <c r="C101" s="18" t="s">
        <v>12</v>
      </c>
      <c r="F101" s="270" t="str">
        <f>$F$6</f>
        <v>Instalace nové fotovoltaické elektrárny s výkonem 991,9 kWp v areálu Litvínov společnosti ČEPRO, a.s.</v>
      </c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R101" s="131"/>
    </row>
    <row r="102" spans="2:63" ht="24.95" customHeight="1" x14ac:dyDescent="0.3">
      <c r="B102" s="132"/>
      <c r="C102" s="18" t="s">
        <v>75</v>
      </c>
      <c r="F102" s="270" t="str">
        <f>F7</f>
        <v>Umístění nové prefabrikované trafostanice o výkonu 1 000 kVA, včetně vybavení</v>
      </c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R102" s="133"/>
    </row>
    <row r="103" spans="2:63" s="7" customFormat="1" ht="52.5" customHeight="1" x14ac:dyDescent="0.3">
      <c r="B103" s="130"/>
      <c r="C103" s="50" t="s">
        <v>76</v>
      </c>
      <c r="F103" s="234" t="str">
        <f>F8</f>
        <v>Oplocení včetně vrat a elektronické zabezpečovací služby a osvětlení</v>
      </c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R103" s="131"/>
    </row>
    <row r="104" spans="2:63" s="7" customFormat="1" ht="7.5" customHeight="1" x14ac:dyDescent="0.3">
      <c r="B104" s="130"/>
      <c r="R104" s="131"/>
    </row>
    <row r="105" spans="2:63" s="7" customFormat="1" ht="18.75" customHeight="1" x14ac:dyDescent="0.3">
      <c r="B105" s="130"/>
      <c r="C105" s="18" t="s">
        <v>15</v>
      </c>
      <c r="F105" s="16" t="str">
        <f>$F$10</f>
        <v>Litvínov</v>
      </c>
      <c r="L105" s="18" t="s">
        <v>16</v>
      </c>
      <c r="M105" s="235">
        <f ca="1">IF($O$10="","",$O$10)</f>
        <v>45238</v>
      </c>
      <c r="N105" s="208"/>
      <c r="O105" s="208"/>
      <c r="P105" s="208"/>
      <c r="R105" s="131"/>
    </row>
    <row r="106" spans="2:63" s="7" customFormat="1" ht="7.5" customHeight="1" x14ac:dyDescent="0.3">
      <c r="B106" s="130"/>
      <c r="R106" s="131"/>
    </row>
    <row r="107" spans="2:63" s="7" customFormat="1" ht="15.75" customHeight="1" x14ac:dyDescent="0.3">
      <c r="B107" s="130"/>
      <c r="C107" s="18" t="s">
        <v>17</v>
      </c>
      <c r="F107" s="16" t="str">
        <f>$E$13</f>
        <v>ČEPRO, a.s.</v>
      </c>
      <c r="L107" s="18" t="s">
        <v>22</v>
      </c>
      <c r="M107" s="219" t="str">
        <f>$E$19</f>
        <v>YOUNG4ENERGY s.r.o.</v>
      </c>
      <c r="N107" s="208"/>
      <c r="O107" s="208"/>
      <c r="P107" s="208"/>
      <c r="Q107" s="208"/>
      <c r="R107" s="131"/>
    </row>
    <row r="108" spans="2:63" s="7" customFormat="1" ht="15" customHeight="1" x14ac:dyDescent="0.3">
      <c r="B108" s="130"/>
      <c r="C108" s="18" t="s">
        <v>20</v>
      </c>
      <c r="F108" s="16" t="str">
        <f>IF($E$16="","",$E$16)</f>
        <v>Vyplň údaj</v>
      </c>
      <c r="L108" s="18" t="s">
        <v>23</v>
      </c>
      <c r="M108" s="219" t="str">
        <f>$E$22</f>
        <v>YOUNG4ENERGY s.r.o.</v>
      </c>
      <c r="N108" s="208"/>
      <c r="O108" s="208"/>
      <c r="P108" s="208"/>
      <c r="Q108" s="208"/>
      <c r="R108" s="131"/>
    </row>
    <row r="109" spans="2:63" s="7" customFormat="1" ht="11.25" customHeight="1" x14ac:dyDescent="0.3">
      <c r="B109" s="130"/>
      <c r="R109" s="131"/>
    </row>
    <row r="110" spans="2:63" s="96" customFormat="1" ht="30" customHeight="1" x14ac:dyDescent="0.3">
      <c r="B110" s="134"/>
      <c r="C110" s="94" t="s">
        <v>84</v>
      </c>
      <c r="D110" s="165" t="s">
        <v>85</v>
      </c>
      <c r="E110" s="165" t="s">
        <v>44</v>
      </c>
      <c r="F110" s="267" t="s">
        <v>86</v>
      </c>
      <c r="G110" s="268"/>
      <c r="H110" s="268"/>
      <c r="I110" s="268"/>
      <c r="J110" s="165" t="s">
        <v>87</v>
      </c>
      <c r="K110" s="165" t="s">
        <v>88</v>
      </c>
      <c r="L110" s="267" t="s">
        <v>89</v>
      </c>
      <c r="M110" s="268"/>
      <c r="N110" s="267" t="s">
        <v>90</v>
      </c>
      <c r="O110" s="268"/>
      <c r="P110" s="268"/>
      <c r="Q110" s="269"/>
      <c r="R110" s="135"/>
      <c r="T110" s="54" t="s">
        <v>91</v>
      </c>
      <c r="U110" s="55" t="s">
        <v>26</v>
      </c>
      <c r="V110" s="55" t="s">
        <v>92</v>
      </c>
      <c r="W110" s="55" t="s">
        <v>93</v>
      </c>
      <c r="X110" s="55" t="s">
        <v>94</v>
      </c>
      <c r="Y110" s="55" t="s">
        <v>95</v>
      </c>
      <c r="Z110" s="55" t="s">
        <v>96</v>
      </c>
      <c r="AA110" s="56" t="s">
        <v>97</v>
      </c>
    </row>
    <row r="111" spans="2:63" s="7" customFormat="1" ht="30" customHeight="1" x14ac:dyDescent="0.3">
      <c r="B111" s="130"/>
      <c r="C111" s="58" t="s">
        <v>77</v>
      </c>
      <c r="N111" s="212">
        <f>N112+N116+N120</f>
        <v>0</v>
      </c>
      <c r="O111" s="208"/>
      <c r="P111" s="208"/>
      <c r="Q111" s="208"/>
      <c r="R111" s="131"/>
      <c r="T111" s="57"/>
      <c r="U111" s="34"/>
      <c r="V111" s="34"/>
      <c r="W111" s="97" t="e">
        <f>#REF!+#REF!+#REF!</f>
        <v>#REF!</v>
      </c>
      <c r="X111" s="34"/>
      <c r="Y111" s="97" t="e">
        <f>#REF!+#REF!+#REF!</f>
        <v>#REF!</v>
      </c>
      <c r="Z111" s="34"/>
      <c r="AA111" s="98" t="e">
        <f>#REF!+#REF!+#REF!</f>
        <v>#REF!</v>
      </c>
      <c r="BK111" s="99"/>
    </row>
    <row r="112" spans="2:63" ht="24.95" customHeight="1" x14ac:dyDescent="0.35">
      <c r="B112" s="130"/>
      <c r="C112" s="107"/>
      <c r="D112" s="101" t="s">
        <v>239</v>
      </c>
      <c r="E112" s="101"/>
      <c r="F112" s="147"/>
      <c r="G112" s="147"/>
      <c r="H112" s="147"/>
      <c r="I112" s="147"/>
      <c r="J112" s="101"/>
      <c r="K112" s="101"/>
      <c r="L112" s="101"/>
      <c r="M112" s="101"/>
      <c r="N112" s="276">
        <f>N113</f>
        <v>0</v>
      </c>
      <c r="O112" s="276"/>
      <c r="P112" s="276"/>
      <c r="Q112" s="276"/>
      <c r="R112" s="131"/>
    </row>
    <row r="113" spans="2:63" ht="20.100000000000001" customHeight="1" x14ac:dyDescent="0.3">
      <c r="B113" s="130"/>
      <c r="C113" s="107"/>
      <c r="D113" s="112" t="s">
        <v>240</v>
      </c>
      <c r="E113" s="141"/>
      <c r="F113" s="148"/>
      <c r="G113" s="148"/>
      <c r="H113" s="148"/>
      <c r="I113" s="148"/>
      <c r="J113" s="146"/>
      <c r="K113" s="142"/>
      <c r="L113" s="7"/>
      <c r="M113" s="7"/>
      <c r="N113" s="253">
        <f>SUM(N114:Q115)</f>
        <v>0</v>
      </c>
      <c r="O113" s="253"/>
      <c r="P113" s="253"/>
      <c r="Q113" s="253"/>
      <c r="R113" s="131"/>
    </row>
    <row r="114" spans="2:63" s="7" customFormat="1" ht="74.25" customHeight="1" x14ac:dyDescent="0.3">
      <c r="B114" s="130"/>
      <c r="C114" s="120">
        <v>1</v>
      </c>
      <c r="D114" s="122"/>
      <c r="E114" s="168"/>
      <c r="F114" s="291" t="s">
        <v>241</v>
      </c>
      <c r="G114" s="292" t="s">
        <v>161</v>
      </c>
      <c r="H114" s="292" t="s">
        <v>161</v>
      </c>
      <c r="I114" s="293" t="s">
        <v>161</v>
      </c>
      <c r="J114" s="169" t="s">
        <v>100</v>
      </c>
      <c r="K114" s="121">
        <v>1</v>
      </c>
      <c r="L114" s="246">
        <v>0</v>
      </c>
      <c r="M114" s="247"/>
      <c r="N114" s="244">
        <f>ROUND(L114*K114,2)</f>
        <v>0</v>
      </c>
      <c r="O114" s="245"/>
      <c r="P114" s="245"/>
      <c r="Q114" s="245"/>
      <c r="R114" s="131"/>
      <c r="T114" s="103"/>
      <c r="U114" s="27" t="s">
        <v>27</v>
      </c>
      <c r="V114" s="119">
        <v>0.497</v>
      </c>
      <c r="W114" s="119">
        <f>$V$114*$K$114</f>
        <v>0.497</v>
      </c>
      <c r="X114" s="119">
        <v>3.4000000000000002E-4</v>
      </c>
      <c r="Y114" s="119">
        <f>$X$114*$K$114</f>
        <v>3.4000000000000002E-4</v>
      </c>
      <c r="Z114" s="119">
        <v>0</v>
      </c>
      <c r="AA114" s="104">
        <f>$Z$114*$K$114</f>
        <v>0</v>
      </c>
      <c r="BE114" s="80"/>
      <c r="BF114" s="80"/>
      <c r="BG114" s="80"/>
      <c r="BH114" s="80"/>
      <c r="BI114" s="80"/>
      <c r="BK114" s="80"/>
    </row>
    <row r="115" spans="2:63" s="7" customFormat="1" ht="72.75" customHeight="1" x14ac:dyDescent="0.3">
      <c r="B115" s="130"/>
      <c r="C115" s="120">
        <f>C114+1</f>
        <v>2</v>
      </c>
      <c r="D115" s="122"/>
      <c r="E115" s="168"/>
      <c r="F115" s="291" t="s">
        <v>242</v>
      </c>
      <c r="G115" s="292"/>
      <c r="H115" s="292"/>
      <c r="I115" s="293"/>
      <c r="J115" s="169" t="s">
        <v>100</v>
      </c>
      <c r="K115" s="121">
        <v>1</v>
      </c>
      <c r="L115" s="246">
        <v>0</v>
      </c>
      <c r="M115" s="247"/>
      <c r="N115" s="244">
        <f>ROUND(L115*K115,2)</f>
        <v>0</v>
      </c>
      <c r="O115" s="245"/>
      <c r="P115" s="245"/>
      <c r="Q115" s="245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2:63" ht="24.95" customHeight="1" x14ac:dyDescent="0.35">
      <c r="B116" s="130"/>
      <c r="C116" s="107"/>
      <c r="D116" s="101" t="s">
        <v>183</v>
      </c>
      <c r="E116" s="101"/>
      <c r="F116" s="171"/>
      <c r="G116" s="171"/>
      <c r="H116" s="171"/>
      <c r="I116" s="171"/>
      <c r="J116" s="101"/>
      <c r="K116" s="101"/>
      <c r="L116" s="101"/>
      <c r="M116" s="101"/>
      <c r="N116" s="276">
        <f>N117</f>
        <v>0</v>
      </c>
      <c r="O116" s="276"/>
      <c r="P116" s="276"/>
      <c r="Q116" s="276"/>
      <c r="R116" s="131"/>
    </row>
    <row r="117" spans="2:63" ht="20.100000000000001" customHeight="1" x14ac:dyDescent="0.3">
      <c r="B117" s="130"/>
      <c r="C117" s="107"/>
      <c r="D117" s="112" t="s">
        <v>185</v>
      </c>
      <c r="E117" s="141"/>
      <c r="F117" s="194"/>
      <c r="G117" s="194"/>
      <c r="H117" s="194"/>
      <c r="I117" s="194"/>
      <c r="J117" s="146"/>
      <c r="K117" s="142"/>
      <c r="L117" s="7"/>
      <c r="M117" s="7"/>
      <c r="N117" s="253">
        <f>SUM(N118:Q119)</f>
        <v>0</v>
      </c>
      <c r="O117" s="253"/>
      <c r="P117" s="253"/>
      <c r="Q117" s="253"/>
      <c r="R117" s="131"/>
    </row>
    <row r="118" spans="2:63" s="7" customFormat="1" ht="73.5" customHeight="1" x14ac:dyDescent="0.3">
      <c r="B118" s="130"/>
      <c r="C118" s="120">
        <f>C115+1</f>
        <v>3</v>
      </c>
      <c r="D118" s="122"/>
      <c r="E118" s="168"/>
      <c r="F118" s="291" t="s">
        <v>249</v>
      </c>
      <c r="G118" s="292" t="s">
        <v>161</v>
      </c>
      <c r="H118" s="292" t="s">
        <v>161</v>
      </c>
      <c r="I118" s="293" t="s">
        <v>161</v>
      </c>
      <c r="J118" s="169" t="s">
        <v>100</v>
      </c>
      <c r="K118" s="121">
        <v>1</v>
      </c>
      <c r="L118" s="246">
        <v>0</v>
      </c>
      <c r="M118" s="247"/>
      <c r="N118" s="244">
        <f>ROUND(L118*K118,2)</f>
        <v>0</v>
      </c>
      <c r="O118" s="245"/>
      <c r="P118" s="245"/>
      <c r="Q118" s="245"/>
      <c r="R118" s="131"/>
      <c r="T118" s="103"/>
      <c r="U118" s="27" t="s">
        <v>27</v>
      </c>
      <c r="V118" s="119">
        <v>0.497</v>
      </c>
      <c r="W118" s="119">
        <f>$V$114*$K$114</f>
        <v>0.497</v>
      </c>
      <c r="X118" s="119">
        <v>3.4000000000000002E-4</v>
      </c>
      <c r="Y118" s="119">
        <f>$X$114*$K$114</f>
        <v>3.4000000000000002E-4</v>
      </c>
      <c r="Z118" s="119">
        <v>0</v>
      </c>
      <c r="AA118" s="104">
        <f>$Z$114*$K$114</f>
        <v>0</v>
      </c>
      <c r="BE118" s="80"/>
      <c r="BF118" s="80"/>
      <c r="BG118" s="80"/>
      <c r="BH118" s="80"/>
      <c r="BI118" s="80"/>
      <c r="BK118" s="80"/>
    </row>
    <row r="119" spans="2:63" s="7" customFormat="1" ht="63.75" customHeight="1" x14ac:dyDescent="0.3">
      <c r="B119" s="130"/>
      <c r="C119" s="120">
        <f>C118+1</f>
        <v>4</v>
      </c>
      <c r="D119" s="122"/>
      <c r="E119" s="168"/>
      <c r="F119" s="291" t="s">
        <v>210</v>
      </c>
      <c r="G119" s="292" t="s">
        <v>161</v>
      </c>
      <c r="H119" s="292" t="s">
        <v>161</v>
      </c>
      <c r="I119" s="293" t="s">
        <v>161</v>
      </c>
      <c r="J119" s="169" t="s">
        <v>100</v>
      </c>
      <c r="K119" s="121">
        <v>1</v>
      </c>
      <c r="L119" s="246">
        <v>0</v>
      </c>
      <c r="M119" s="247"/>
      <c r="N119" s="244">
        <f>ROUND(L119*K119,2)</f>
        <v>0</v>
      </c>
      <c r="O119" s="245"/>
      <c r="P119" s="245"/>
      <c r="Q119" s="245"/>
      <c r="R119" s="131"/>
      <c r="T119" s="103"/>
      <c r="U119" s="27" t="s">
        <v>27</v>
      </c>
      <c r="V119" s="119">
        <v>0.497</v>
      </c>
      <c r="W119" s="119">
        <f>$V$114*$K$114</f>
        <v>0.497</v>
      </c>
      <c r="X119" s="119">
        <v>3.4000000000000002E-4</v>
      </c>
      <c r="Y119" s="119">
        <f>$X$114*$K$114</f>
        <v>3.4000000000000002E-4</v>
      </c>
      <c r="Z119" s="119">
        <v>0</v>
      </c>
      <c r="AA119" s="104">
        <f>$Z$114*$K$114</f>
        <v>0</v>
      </c>
      <c r="BE119" s="80"/>
      <c r="BF119" s="80"/>
      <c r="BG119" s="80"/>
      <c r="BH119" s="80"/>
      <c r="BI119" s="80"/>
      <c r="BK119" s="80"/>
    </row>
    <row r="120" spans="2:63" ht="24.95" customHeight="1" x14ac:dyDescent="0.35">
      <c r="B120" s="130"/>
      <c r="C120" s="107"/>
      <c r="D120" s="101" t="s">
        <v>184</v>
      </c>
      <c r="E120" s="101"/>
      <c r="F120" s="171"/>
      <c r="G120" s="171"/>
      <c r="H120" s="171"/>
      <c r="I120" s="171"/>
      <c r="J120" s="101"/>
      <c r="K120" s="101"/>
      <c r="L120" s="101"/>
      <c r="M120" s="101"/>
      <c r="N120" s="276">
        <f>N121</f>
        <v>0</v>
      </c>
      <c r="O120" s="276"/>
      <c r="P120" s="276"/>
      <c r="Q120" s="276"/>
      <c r="R120" s="131"/>
    </row>
    <row r="121" spans="2:63" ht="20.100000000000001" customHeight="1" x14ac:dyDescent="0.3">
      <c r="B121" s="130"/>
      <c r="C121" s="107"/>
      <c r="D121" s="112" t="s">
        <v>186</v>
      </c>
      <c r="E121" s="141"/>
      <c r="F121" s="194"/>
      <c r="G121" s="194"/>
      <c r="H121" s="194"/>
      <c r="I121" s="194"/>
      <c r="J121" s="146"/>
      <c r="K121" s="142"/>
      <c r="L121" s="7"/>
      <c r="M121" s="7"/>
      <c r="N121" s="253">
        <f>SUM(N122:Q123)</f>
        <v>0</v>
      </c>
      <c r="O121" s="253"/>
      <c r="P121" s="253"/>
      <c r="Q121" s="253"/>
      <c r="R121" s="131"/>
    </row>
    <row r="122" spans="2:63" s="7" customFormat="1" ht="60.75" customHeight="1" x14ac:dyDescent="0.3">
      <c r="B122" s="130"/>
      <c r="C122" s="120">
        <f>C119+1</f>
        <v>5</v>
      </c>
      <c r="D122" s="122"/>
      <c r="E122" s="155"/>
      <c r="F122" s="241" t="s">
        <v>250</v>
      </c>
      <c r="G122" s="242"/>
      <c r="H122" s="242"/>
      <c r="I122" s="243"/>
      <c r="J122" s="158" t="s">
        <v>100</v>
      </c>
      <c r="K122" s="121">
        <v>1</v>
      </c>
      <c r="L122" s="246">
        <v>0</v>
      </c>
      <c r="M122" s="247"/>
      <c r="N122" s="244">
        <f>ROUND(L122*K122,2)</f>
        <v>0</v>
      </c>
      <c r="O122" s="245"/>
      <c r="P122" s="245"/>
      <c r="Q122" s="245"/>
      <c r="R122" s="131"/>
      <c r="T122" s="103"/>
      <c r="U122" s="27" t="s">
        <v>27</v>
      </c>
      <c r="V122" s="119">
        <v>0.497</v>
      </c>
      <c r="W122" s="119" t="e">
        <f>#REF!*#REF!</f>
        <v>#REF!</v>
      </c>
      <c r="X122" s="119">
        <v>3.4000000000000002E-4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7" customFormat="1" ht="95.25" customHeight="1" x14ac:dyDescent="0.3">
      <c r="B123" s="130"/>
      <c r="C123" s="120">
        <f>C122+1</f>
        <v>6</v>
      </c>
      <c r="D123" s="122"/>
      <c r="E123" s="155"/>
      <c r="F123" s="241" t="s">
        <v>209</v>
      </c>
      <c r="G123" s="242"/>
      <c r="H123" s="242"/>
      <c r="I123" s="243"/>
      <c r="J123" s="158" t="s">
        <v>100</v>
      </c>
      <c r="K123" s="121">
        <v>1</v>
      </c>
      <c r="L123" s="246">
        <v>0</v>
      </c>
      <c r="M123" s="247"/>
      <c r="N123" s="244">
        <f>ROUND(L123*K123,2)</f>
        <v>0</v>
      </c>
      <c r="O123" s="245"/>
      <c r="P123" s="245"/>
      <c r="Q123" s="245"/>
      <c r="R123" s="131"/>
      <c r="T123" s="103"/>
      <c r="U123" s="27" t="s">
        <v>27</v>
      </c>
      <c r="V123" s="119">
        <v>0.497</v>
      </c>
      <c r="W123" s="119" t="e">
        <f>#REF!*#REF!</f>
        <v>#REF!</v>
      </c>
      <c r="X123" s="119">
        <v>3.4000000000000002E-4</v>
      </c>
      <c r="Y123" s="119" t="e">
        <f>#REF!*#REF!</f>
        <v>#REF!</v>
      </c>
      <c r="Z123" s="119">
        <v>0</v>
      </c>
      <c r="AA123" s="104" t="e">
        <f>#REF!*#REF!</f>
        <v>#REF!</v>
      </c>
      <c r="BE123" s="80"/>
      <c r="BF123" s="80"/>
      <c r="BG123" s="80"/>
      <c r="BH123" s="80"/>
      <c r="BI123" s="80"/>
      <c r="BK123" s="80"/>
    </row>
    <row r="124" spans="2:63" ht="14.25" customHeight="1" x14ac:dyDescent="0.3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110"/>
    </row>
  </sheetData>
  <sheetProtection algorithmName="SHA-512" hashValue="XLBS3ZQ3Rj7phayoOc2vWM2FjFzw5pJ+3MLivmn49f2Lbh6QkDKWzgE0BGc1KfFkrsBcR5NPZKIITVOEgkXccA==" saltValue="LrQsBA6uwP487TI6Svn8YA==" spinCount="100000" sheet="1" objects="1" scenarios="1" selectLockedCells="1"/>
  <mergeCells count="81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2:P102"/>
    <mergeCell ref="M83:Q83"/>
    <mergeCell ref="M84:Q84"/>
    <mergeCell ref="C86:G86"/>
    <mergeCell ref="N86:Q86"/>
    <mergeCell ref="N88:Q88"/>
    <mergeCell ref="N89:Q89"/>
    <mergeCell ref="N90:Q90"/>
    <mergeCell ref="N91:Q91"/>
    <mergeCell ref="L93:Q93"/>
    <mergeCell ref="C99:Q99"/>
    <mergeCell ref="F101:P101"/>
    <mergeCell ref="F103:P103"/>
    <mergeCell ref="M105:P105"/>
    <mergeCell ref="M107:Q107"/>
    <mergeCell ref="M108:Q108"/>
    <mergeCell ref="F110:I110"/>
    <mergeCell ref="L110:M110"/>
    <mergeCell ref="N110:Q110"/>
    <mergeCell ref="F118:I118"/>
    <mergeCell ref="L118:M118"/>
    <mergeCell ref="N118:Q118"/>
    <mergeCell ref="N111:Q111"/>
    <mergeCell ref="N112:Q112"/>
    <mergeCell ref="N113:Q113"/>
    <mergeCell ref="F114:I114"/>
    <mergeCell ref="L114:M114"/>
    <mergeCell ref="N114:Q114"/>
    <mergeCell ref="F115:I115"/>
    <mergeCell ref="L115:M115"/>
    <mergeCell ref="N115:Q115"/>
    <mergeCell ref="N116:Q116"/>
    <mergeCell ref="N117:Q117"/>
    <mergeCell ref="F123:I123"/>
    <mergeCell ref="L123:M123"/>
    <mergeCell ref="N123:Q123"/>
    <mergeCell ref="F119:I119"/>
    <mergeCell ref="L119:M119"/>
    <mergeCell ref="N119:Q119"/>
    <mergeCell ref="N120:Q120"/>
    <mergeCell ref="N121:Q121"/>
    <mergeCell ref="F122:I122"/>
    <mergeCell ref="L122:M122"/>
    <mergeCell ref="N122:Q122"/>
  </mergeCells>
  <hyperlinks>
    <hyperlink ref="F1:G1" location="C2" tooltip="Krycí list rozpočtu" display="1) Krycí list rozpočtu" xr:uid="{CC04DCEC-1210-4EF9-8F9D-5CCFED3CE83B}"/>
    <hyperlink ref="H1:K1" location="'SO03'!C93" tooltip="Rekapitulace rozpočtu" display="2) Rekapitulace rozpočtu" xr:uid="{8C3DB867-5C28-481D-B15F-DD1EB7DFCD66}"/>
    <hyperlink ref="L1" location="'SO03'!C115" tooltip="Rozpočet" display="3) Rozpočet" xr:uid="{88BDA842-8255-415C-903F-2B89D0FB0394}"/>
    <hyperlink ref="S1:T1" location="'Rekapitulace stavby'!C2" tooltip="Rekapitulace stavby" display="Rekapitulace stavby" xr:uid="{6DD365D2-C097-4B5F-B767-773E12DE4EFA}"/>
    <hyperlink ref="F1" location="'SO03'!C4" tooltip="Krycí list rozpočtu" display="1) Krycí list rozpočtu" xr:uid="{B5EAB850-313B-4EAE-8F94-1D2106D300EF}"/>
    <hyperlink ref="S1" location="Rekapitulace!C4" tooltip="Rekapitulace stavby" display="Rekapitulace stavby" xr:uid="{416490C7-354B-4EFD-A65F-46B6BD9BA94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6" sqref="L116:M1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29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20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29" ht="24.95" customHeight="1" x14ac:dyDescent="0.3">
      <c r="B7" s="11"/>
      <c r="D7" s="18" t="s">
        <v>75</v>
      </c>
      <c r="F7" s="270" t="str">
        <f>Rekapitulace!J90</f>
        <v>Řídicí systém pro řízení výroby s energetickým managmentem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Rekapitulace!J90</f>
        <v>Řídicí systém pro řízení výroby s energetickým managmentem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9" t="str">
        <f>Rekapitulace!L79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$N$88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(H29)*$F$29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08"/>
      <c r="J30" s="208"/>
      <c r="M30" s="272"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(SUM($BG$91:$BG$91)+SUM($BG$110:$BG$110))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(SUM($BH$91:$BH$91)+SUM($BH$110:$BH$110))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(SUM($BI$91:$BI$91)+SUM($BI$110:$BI$110))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R77" s="22"/>
    </row>
    <row r="78" spans="2:18" ht="24.95" customHeight="1" x14ac:dyDescent="0.3">
      <c r="B78" s="11"/>
      <c r="C78" s="18" t="s">
        <v>75</v>
      </c>
      <c r="F78" s="270" t="str">
        <f>F7</f>
        <v>Řídicí systém pro řízení výroby s energetickým managmentem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12"/>
    </row>
    <row r="79" spans="2:18" s="7" customFormat="1" ht="37.5" customHeight="1" x14ac:dyDescent="0.3">
      <c r="B79" s="21"/>
      <c r="C79" s="50" t="s">
        <v>76</v>
      </c>
      <c r="F79" s="234" t="str">
        <f>F8</f>
        <v>Řídicí systém pro řízení výroby s energetickým managmentem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12">
        <f>ROUND($N$110,2)</f>
        <v>0</v>
      </c>
      <c r="O88" s="208"/>
      <c r="P88" s="208"/>
      <c r="Q88" s="208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N111</f>
        <v>0</v>
      </c>
      <c r="O89" s="257"/>
      <c r="P89" s="257"/>
      <c r="Q89" s="257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N114</f>
        <v>0</v>
      </c>
      <c r="O90" s="257"/>
      <c r="P90" s="257"/>
      <c r="Q90" s="257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114</v>
      </c>
      <c r="D92" s="29"/>
      <c r="E92" s="29"/>
      <c r="F92" s="29"/>
      <c r="G92" s="29"/>
      <c r="H92" s="29"/>
      <c r="I92" s="29"/>
      <c r="J92" s="29"/>
      <c r="K92" s="29"/>
      <c r="L92" s="238">
        <f>ROUND(SUM($N$89:$Q$90),2)</f>
        <v>0</v>
      </c>
      <c r="M92" s="239"/>
      <c r="N92" s="239"/>
      <c r="O92" s="239"/>
      <c r="P92" s="239"/>
      <c r="Q92" s="239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07" t="s">
        <v>83</v>
      </c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0" t="str">
        <f>$F$6</f>
        <v>Instalace nové fotovoltaické elektrárny s výkonem 991,9 kWp v areálu Litvínov společnosti ČEPRO, a.s.</v>
      </c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R100" s="131"/>
    </row>
    <row r="101" spans="2:63" ht="24.95" customHeight="1" x14ac:dyDescent="0.3">
      <c r="B101" s="132"/>
      <c r="C101" s="18" t="s">
        <v>75</v>
      </c>
      <c r="F101" s="270" t="str">
        <f>F7</f>
        <v>Řídicí systém pro řízení výroby s energetickým managmentem</v>
      </c>
      <c r="G101" s="270"/>
      <c r="H101" s="270"/>
      <c r="I101" s="270"/>
      <c r="J101" s="270"/>
      <c r="K101" s="270"/>
      <c r="L101" s="270"/>
      <c r="M101" s="270"/>
      <c r="N101" s="270"/>
      <c r="O101" s="270"/>
      <c r="P101" s="270"/>
      <c r="R101" s="133"/>
    </row>
    <row r="102" spans="2:63" s="7" customFormat="1" ht="52.5" customHeight="1" x14ac:dyDescent="0.3">
      <c r="B102" s="130"/>
      <c r="C102" s="50" t="s">
        <v>76</v>
      </c>
      <c r="F102" s="234" t="str">
        <f>F8</f>
        <v>Řídicí systém pro řízení výroby s energetickým managmentem</v>
      </c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Litvínov</v>
      </c>
      <c r="L104" s="18" t="s">
        <v>16</v>
      </c>
      <c r="M104" s="235">
        <f ca="1">IF($O$10="","",$O$10)</f>
        <v>45238</v>
      </c>
      <c r="N104" s="235"/>
      <c r="O104" s="235"/>
      <c r="P104" s="235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9" t="str">
        <f>$E$19</f>
        <v>YOUNG4ENERGY s.r.o.</v>
      </c>
      <c r="N106" s="219"/>
      <c r="O106" s="219"/>
      <c r="P106" s="219"/>
      <c r="Q106" s="219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9" t="str">
        <f>$E$22</f>
        <v>YOUNG4ENERGY s.r.o.</v>
      </c>
      <c r="N107" s="208"/>
      <c r="O107" s="208"/>
      <c r="P107" s="208"/>
      <c r="Q107" s="208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7" t="s">
        <v>86</v>
      </c>
      <c r="G109" s="268"/>
      <c r="H109" s="268"/>
      <c r="I109" s="268"/>
      <c r="J109" s="165" t="s">
        <v>87</v>
      </c>
      <c r="K109" s="165" t="s">
        <v>88</v>
      </c>
      <c r="L109" s="267" t="s">
        <v>89</v>
      </c>
      <c r="M109" s="268"/>
      <c r="N109" s="267" t="s">
        <v>90</v>
      </c>
      <c r="O109" s="268"/>
      <c r="P109" s="268"/>
      <c r="Q109" s="269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12">
        <f>N111+N114</f>
        <v>0</v>
      </c>
      <c r="O110" s="208"/>
      <c r="P110" s="208"/>
      <c r="Q110" s="208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142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76">
        <f>N112</f>
        <v>0</v>
      </c>
      <c r="O111" s="276"/>
      <c r="P111" s="276"/>
      <c r="Q111" s="276"/>
      <c r="R111" s="131"/>
    </row>
    <row r="112" spans="2:63" ht="20.100000000000001" customHeight="1" x14ac:dyDescent="0.3">
      <c r="B112" s="130"/>
      <c r="C112" s="107"/>
      <c r="D112" s="112" t="s">
        <v>148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53">
        <f>SUM(N113:Q113)</f>
        <v>0</v>
      </c>
      <c r="O112" s="253"/>
      <c r="P112" s="253"/>
      <c r="Q112" s="253"/>
      <c r="R112" s="131"/>
    </row>
    <row r="113" spans="2:63" s="7" customFormat="1" ht="122.25" customHeight="1" x14ac:dyDescent="0.3">
      <c r="B113" s="130"/>
      <c r="C113" s="120">
        <v>1</v>
      </c>
      <c r="D113" s="122"/>
      <c r="E113" s="168"/>
      <c r="F113" s="291" t="s">
        <v>248</v>
      </c>
      <c r="G113" s="292" t="s">
        <v>161</v>
      </c>
      <c r="H113" s="292" t="s">
        <v>161</v>
      </c>
      <c r="I113" s="293" t="s">
        <v>161</v>
      </c>
      <c r="J113" s="169" t="s">
        <v>100</v>
      </c>
      <c r="K113" s="121">
        <v>1</v>
      </c>
      <c r="L113" s="246">
        <v>0</v>
      </c>
      <c r="M113" s="247"/>
      <c r="N113" s="244">
        <f>ROUND(L113*K113,2)</f>
        <v>0</v>
      </c>
      <c r="O113" s="245"/>
      <c r="P113" s="245"/>
      <c r="Q113" s="245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143</v>
      </c>
      <c r="E114" s="101"/>
      <c r="F114" s="171"/>
      <c r="G114" s="171"/>
      <c r="H114" s="171"/>
      <c r="I114" s="171"/>
      <c r="J114" s="101"/>
      <c r="K114" s="101"/>
      <c r="L114" s="101"/>
      <c r="M114" s="101"/>
      <c r="N114" s="276">
        <f>N115</f>
        <v>0</v>
      </c>
      <c r="O114" s="276"/>
      <c r="P114" s="276"/>
      <c r="Q114" s="276"/>
      <c r="R114" s="131"/>
    </row>
    <row r="115" spans="2:63" ht="20.100000000000001" customHeight="1" x14ac:dyDescent="0.3">
      <c r="B115" s="130"/>
      <c r="C115" s="107"/>
      <c r="D115" s="112" t="s">
        <v>144</v>
      </c>
      <c r="E115" s="141"/>
      <c r="F115" s="194"/>
      <c r="G115" s="194"/>
      <c r="H115" s="194"/>
      <c r="I115" s="194"/>
      <c r="J115" s="146"/>
      <c r="K115" s="142"/>
      <c r="L115" s="7"/>
      <c r="M115" s="7"/>
      <c r="N115" s="253">
        <f>SUM(N116)</f>
        <v>0</v>
      </c>
      <c r="O115" s="253"/>
      <c r="P115" s="253"/>
      <c r="Q115" s="253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41" t="s">
        <v>164</v>
      </c>
      <c r="G116" s="242"/>
      <c r="H116" s="242"/>
      <c r="I116" s="243"/>
      <c r="J116" s="158" t="s">
        <v>100</v>
      </c>
      <c r="K116" s="121">
        <v>1</v>
      </c>
      <c r="L116" s="246">
        <v>0</v>
      </c>
      <c r="M116" s="247"/>
      <c r="N116" s="244">
        <f>ROUND(L116*K116,2)</f>
        <v>0</v>
      </c>
      <c r="O116" s="245"/>
      <c r="P116" s="245"/>
      <c r="Q116" s="245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89" t="s">
        <v>203</v>
      </c>
      <c r="M117" s="43"/>
      <c r="N117" s="43"/>
      <c r="O117" s="43"/>
      <c r="P117" s="43"/>
      <c r="Q117" s="43"/>
      <c r="R117" s="110"/>
    </row>
  </sheetData>
  <sheetProtection algorithmName="SHA-512" hashValue="Lv+mQolMFrwrlgbq2ZQyrN0XTbPgaQ8HcIqocv8eIabKiEKoYjCjbH5WukXJwagtBN8rmQlAZP4eDNbA5VUmSw==" saltValue="H7iesb+Fvw07aPX3pP7ePg==" spinCount="100000" sheet="1" objects="1" scenarios="1" selectLockedCells="1"/>
  <mergeCells count="66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102:P102"/>
    <mergeCell ref="M104:P104"/>
    <mergeCell ref="M106:Q106"/>
    <mergeCell ref="M107:Q107"/>
    <mergeCell ref="F109:I109"/>
    <mergeCell ref="L109:M109"/>
    <mergeCell ref="N109:Q109"/>
    <mergeCell ref="N110:Q110"/>
    <mergeCell ref="N111:Q111"/>
    <mergeCell ref="N112:Q112"/>
    <mergeCell ref="F113:I113"/>
    <mergeCell ref="L113:M113"/>
    <mergeCell ref="N113:Q113"/>
    <mergeCell ref="N114:Q114"/>
    <mergeCell ref="N115:Q115"/>
    <mergeCell ref="F116:I116"/>
    <mergeCell ref="L116:M116"/>
    <mergeCell ref="N116:Q116"/>
  </mergeCells>
  <hyperlinks>
    <hyperlink ref="F1:G1" location="C2" tooltip="Krycí list rozpočtu" display="1) Krycí list rozpočtu" xr:uid="{0793A952-8796-4F26-B3FA-ADF64D91E246}"/>
    <hyperlink ref="H1:K1" location="'SO03'!A92" tooltip="Rekapitulace rozpočtu" display="2) Rekapitulace rozpočtu" xr:uid="{0388F29A-6DDB-4CB2-897E-DC0E80A7E83B}"/>
    <hyperlink ref="L1" location="'SO03'!A113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S1" location="Rekapitulace!C4" tooltip="Rekapitulace stavby" display="Rekapitulace stavby" xr:uid="{A2E79D7C-DA7C-4AC8-9DA1-DF7E148FAF1A}"/>
    <hyperlink ref="F1" location="'SO04'!C4" tooltip="Krycí list rozpočtu" display="1) Krycí list rozpočtu" xr:uid="{9505CACA-18DE-40AF-8679-788D4DDD07F5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18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6" sqref="L116:M1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29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20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29" ht="24.95" customHeight="1" x14ac:dyDescent="0.3">
      <c r="B7" s="11"/>
      <c r="D7" s="18" t="s">
        <v>75</v>
      </c>
      <c r="F7" s="270" t="str">
        <f>Rekapitulace!J91</f>
        <v>Vyvedení elektrického výkonu FVE – stejnosměrná část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Rekapitulace!J91</f>
        <v>Vyvedení elektrického výkonu FVE – stejnosměrná část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9" t="str">
        <f>Rekapitulace!L79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$N$88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(H29)*$F$29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08"/>
      <c r="J30" s="208"/>
      <c r="M30" s="272"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(SUM($BG$90:$BG$90)+SUM($BG$109:$BG$109))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(SUM($BH$90:$BH$90)+SUM($BH$109:$BH$109))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(SUM($BI$90:$BI$90)+SUM($BI$109:$BI$109))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R77" s="22"/>
    </row>
    <row r="78" spans="2:18" ht="24.95" customHeight="1" x14ac:dyDescent="0.3">
      <c r="B78" s="11"/>
      <c r="C78" s="18" t="s">
        <v>75</v>
      </c>
      <c r="F78" s="270" t="str">
        <f>F7</f>
        <v>Vyvedení elektrického výkonu FVE – stejnosměrná část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12"/>
    </row>
    <row r="79" spans="2:18" s="7" customFormat="1" ht="37.5" customHeight="1" x14ac:dyDescent="0.3">
      <c r="B79" s="21"/>
      <c r="C79" s="50" t="s">
        <v>76</v>
      </c>
      <c r="F79" s="234" t="str">
        <f>F8</f>
        <v>Vyvedení elektrického výkonu FVE – stejnosměrná část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12">
        <f>ROUND($N$109,2)</f>
        <v>0</v>
      </c>
      <c r="O88" s="208"/>
      <c r="P88" s="208"/>
      <c r="Q88" s="208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N110</f>
        <v>0</v>
      </c>
      <c r="O89" s="257"/>
      <c r="P89" s="257"/>
      <c r="Q89" s="257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114</v>
      </c>
      <c r="D91" s="29"/>
      <c r="E91" s="29"/>
      <c r="F91" s="29"/>
      <c r="G91" s="29"/>
      <c r="H91" s="29"/>
      <c r="I91" s="29"/>
      <c r="J91" s="29"/>
      <c r="K91" s="29"/>
      <c r="L91" s="238">
        <f>ROUND(SUM($N$89:$Q$89),2)</f>
        <v>0</v>
      </c>
      <c r="M91" s="239"/>
      <c r="N91" s="239"/>
      <c r="O91" s="239"/>
      <c r="P91" s="239"/>
      <c r="Q91" s="239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7" t="s">
        <v>83</v>
      </c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991,9 kWp v areálu Litvínov společnosti ČEPRO, a.s.</v>
      </c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R99" s="131"/>
    </row>
    <row r="100" spans="2:63" ht="24.95" customHeight="1" x14ac:dyDescent="0.3">
      <c r="B100" s="132"/>
      <c r="C100" s="18" t="s">
        <v>75</v>
      </c>
      <c r="F100" s="270" t="str">
        <f>F7</f>
        <v>Vyvedení elektrického výkonu FVE – stejnosměrná část</v>
      </c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R100" s="133"/>
    </row>
    <row r="101" spans="2:63" s="7" customFormat="1" ht="52.5" customHeight="1" x14ac:dyDescent="0.3">
      <c r="B101" s="130"/>
      <c r="C101" s="50" t="s">
        <v>76</v>
      </c>
      <c r="F101" s="234" t="str">
        <f>F8</f>
        <v>Vyvedení elektrického výkonu FVE – stejnosměrná část</v>
      </c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Litvínov</v>
      </c>
      <c r="L103" s="18" t="s">
        <v>16</v>
      </c>
      <c r="M103" s="235">
        <f ca="1">IF($O$10="","",$O$10)</f>
        <v>45238</v>
      </c>
      <c r="N103" s="208"/>
      <c r="O103" s="208"/>
      <c r="P103" s="208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9" t="str">
        <f>$E$19</f>
        <v>YOUNG4ENERGY s.r.o.</v>
      </c>
      <c r="N105" s="208"/>
      <c r="O105" s="208"/>
      <c r="P105" s="208"/>
      <c r="Q105" s="208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9" t="str">
        <f>$E$22</f>
        <v>YOUNG4ENERGY s.r.o.</v>
      </c>
      <c r="N106" s="208"/>
      <c r="O106" s="208"/>
      <c r="P106" s="208"/>
      <c r="Q106" s="208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12">
        <f>N110</f>
        <v>0</v>
      </c>
      <c r="O109" s="208"/>
      <c r="P109" s="208"/>
      <c r="Q109" s="208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187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6">
        <f>N111+N113+N115</f>
        <v>0</v>
      </c>
      <c r="O110" s="276"/>
      <c r="P110" s="276"/>
      <c r="Q110" s="276"/>
      <c r="R110" s="131"/>
    </row>
    <row r="111" spans="2:63" ht="19.5" customHeight="1" x14ac:dyDescent="0.3">
      <c r="B111" s="130"/>
      <c r="C111" s="107"/>
      <c r="D111" s="112" t="s">
        <v>231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53">
        <f>SUM(N112:Q112)</f>
        <v>0</v>
      </c>
      <c r="O111" s="253"/>
      <c r="P111" s="253"/>
      <c r="Q111" s="253"/>
      <c r="R111" s="131"/>
    </row>
    <row r="112" spans="2:63" s="7" customFormat="1" ht="44.25" customHeight="1" x14ac:dyDescent="0.3">
      <c r="B112" s="130"/>
      <c r="C112" s="120">
        <f>1</f>
        <v>1</v>
      </c>
      <c r="D112" s="122"/>
      <c r="E112" s="168"/>
      <c r="F112" s="297" t="s">
        <v>216</v>
      </c>
      <c r="G112" s="298"/>
      <c r="H112" s="298"/>
      <c r="I112" s="298"/>
      <c r="J112" s="169" t="s">
        <v>100</v>
      </c>
      <c r="K112" s="121">
        <v>1</v>
      </c>
      <c r="L112" s="246">
        <v>0</v>
      </c>
      <c r="M112" s="247"/>
      <c r="N112" s="244">
        <f>ROUND(L112*K112,2)</f>
        <v>0</v>
      </c>
      <c r="O112" s="245"/>
      <c r="P112" s="245"/>
      <c r="Q112" s="245"/>
      <c r="R112" s="131"/>
      <c r="T112" s="108"/>
      <c r="U112" s="27"/>
      <c r="V112" s="119"/>
      <c r="W112" s="119"/>
      <c r="X112" s="119"/>
      <c r="Y112" s="119"/>
      <c r="Z112" s="119"/>
      <c r="AA112" s="104"/>
      <c r="BE112" s="80"/>
      <c r="BF112" s="80"/>
      <c r="BG112" s="80"/>
      <c r="BH112" s="80"/>
      <c r="BI112" s="80"/>
      <c r="BK112" s="80"/>
    </row>
    <row r="113" spans="1:63" s="7" customFormat="1" ht="18" customHeight="1" x14ac:dyDescent="0.3">
      <c r="B113" s="130"/>
      <c r="C113" s="113"/>
      <c r="D113" s="112" t="s">
        <v>202</v>
      </c>
      <c r="E113" s="112"/>
      <c r="F113" s="195"/>
      <c r="G113" s="195"/>
      <c r="H113" s="195"/>
      <c r="I113" s="195"/>
      <c r="J113" s="112"/>
      <c r="K113" s="112"/>
      <c r="L113" s="112"/>
      <c r="M113" s="112"/>
      <c r="N113" s="258">
        <f>SUM(N114)</f>
        <v>0</v>
      </c>
      <c r="O113" s="258"/>
      <c r="P113" s="258"/>
      <c r="Q113" s="258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5" customHeight="1" x14ac:dyDescent="0.3">
      <c r="B114" s="130"/>
      <c r="C114" s="120">
        <f>C112+1</f>
        <v>2</v>
      </c>
      <c r="D114" s="143"/>
      <c r="E114" s="172"/>
      <c r="F114" s="259" t="s">
        <v>192</v>
      </c>
      <c r="G114" s="260"/>
      <c r="H114" s="260"/>
      <c r="I114" s="261"/>
      <c r="J114" s="169" t="s">
        <v>100</v>
      </c>
      <c r="K114" s="173">
        <v>1</v>
      </c>
      <c r="L114" s="295">
        <v>0</v>
      </c>
      <c r="M114" s="296"/>
      <c r="N114" s="248">
        <f>ROUND(L114*K114,2)</f>
        <v>0</v>
      </c>
      <c r="O114" s="249"/>
      <c r="P114" s="249"/>
      <c r="Q114" s="250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ht="18.75" customHeight="1" x14ac:dyDescent="0.3">
      <c r="A115" s="7"/>
      <c r="B115" s="130"/>
      <c r="C115" s="113"/>
      <c r="D115" s="112" t="s">
        <v>201</v>
      </c>
      <c r="E115" s="112"/>
      <c r="F115" s="195"/>
      <c r="G115" s="195"/>
      <c r="H115" s="195"/>
      <c r="I115" s="195"/>
      <c r="J115" s="112"/>
      <c r="K115" s="112"/>
      <c r="L115" s="112"/>
      <c r="M115" s="112"/>
      <c r="N115" s="262">
        <f>SUM(N116:Q117)</f>
        <v>0</v>
      </c>
      <c r="O115" s="262"/>
      <c r="P115" s="262"/>
      <c r="Q115" s="262"/>
      <c r="R115" s="133"/>
    </row>
    <row r="116" spans="1:63" ht="84.75" customHeight="1" x14ac:dyDescent="0.3">
      <c r="A116" s="7"/>
      <c r="B116" s="130"/>
      <c r="C116" s="120">
        <f>C114+1</f>
        <v>3</v>
      </c>
      <c r="D116" s="143"/>
      <c r="E116" s="174"/>
      <c r="F116" s="241" t="s">
        <v>165</v>
      </c>
      <c r="G116" s="242"/>
      <c r="H116" s="242"/>
      <c r="I116" s="243"/>
      <c r="J116" s="175" t="s">
        <v>100</v>
      </c>
      <c r="K116" s="173">
        <v>1</v>
      </c>
      <c r="L116" s="295">
        <v>0</v>
      </c>
      <c r="M116" s="296"/>
      <c r="N116" s="248">
        <f>ROUND(K116*L116,2)</f>
        <v>0</v>
      </c>
      <c r="O116" s="249"/>
      <c r="P116" s="249"/>
      <c r="Q116" s="250"/>
      <c r="R116" s="133"/>
    </row>
    <row r="117" spans="1:63" ht="57" customHeight="1" x14ac:dyDescent="0.3">
      <c r="B117" s="130"/>
      <c r="C117" s="143">
        <f>C116+1</f>
        <v>4</v>
      </c>
      <c r="D117" s="143"/>
      <c r="E117" s="172"/>
      <c r="F117" s="241" t="s">
        <v>149</v>
      </c>
      <c r="G117" s="242"/>
      <c r="H117" s="242"/>
      <c r="I117" s="243"/>
      <c r="J117" s="169" t="s">
        <v>100</v>
      </c>
      <c r="K117" s="173">
        <v>1</v>
      </c>
      <c r="L117" s="295">
        <v>0</v>
      </c>
      <c r="M117" s="295"/>
      <c r="N117" s="248">
        <f>ROUND(K117*L117,2)</f>
        <v>0</v>
      </c>
      <c r="O117" s="249"/>
      <c r="P117" s="249"/>
      <c r="Q117" s="250"/>
      <c r="R117" s="133"/>
    </row>
    <row r="118" spans="1:63" ht="14.25" customHeight="1" x14ac:dyDescent="0.3">
      <c r="B118" s="176"/>
      <c r="C118" s="177"/>
      <c r="D118" s="177"/>
      <c r="E118" s="177"/>
      <c r="F118" s="177"/>
      <c r="G118" s="177"/>
      <c r="H118" s="177"/>
      <c r="I118" s="177"/>
      <c r="J118" s="177"/>
      <c r="K118" s="177"/>
      <c r="L118" s="177"/>
      <c r="M118" s="177"/>
      <c r="N118" s="179"/>
      <c r="O118" s="179"/>
      <c r="P118" s="179"/>
      <c r="Q118" s="179"/>
      <c r="R118" s="110"/>
    </row>
  </sheetData>
  <sheetProtection algorithmName="SHA-512" hashValue="YC6opYPPEs9pVyd3Qpa0ogUDBfSx2cip+DVkc8hzRqUoNVmv/3M2lTHwCBt4In8Lq3bcpEk9/JFDD1XYZZfyag==" saltValue="v91Xi/wrX3VqxTFfxkH2+Q==" spinCount="100000" sheet="1" objects="1" scenarios="1" selectLockedCells="1"/>
  <mergeCells count="71">
    <mergeCell ref="F78:P78"/>
    <mergeCell ref="F79:P79"/>
    <mergeCell ref="L117:M117"/>
    <mergeCell ref="N114:Q114"/>
    <mergeCell ref="N117:Q117"/>
    <mergeCell ref="N113:Q113"/>
    <mergeCell ref="N115:Q115"/>
    <mergeCell ref="F117:I117"/>
    <mergeCell ref="N110:Q110"/>
    <mergeCell ref="N111:Q111"/>
    <mergeCell ref="F100:P100"/>
    <mergeCell ref="M83:Q83"/>
    <mergeCell ref="M84:Q84"/>
    <mergeCell ref="C86:G86"/>
    <mergeCell ref="F112:I112"/>
    <mergeCell ref="L112:M112"/>
    <mergeCell ref="F7:P7"/>
    <mergeCell ref="M25:P25"/>
    <mergeCell ref="M27:P27"/>
    <mergeCell ref="H29:J29"/>
    <mergeCell ref="M29:P29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H1:K1"/>
    <mergeCell ref="C2:Q2"/>
    <mergeCell ref="S2:AC2"/>
    <mergeCell ref="C4:Q4"/>
    <mergeCell ref="F6:P6"/>
    <mergeCell ref="O21:P21"/>
    <mergeCell ref="N86:Q86"/>
    <mergeCell ref="N88:Q88"/>
    <mergeCell ref="H33:J33"/>
    <mergeCell ref="M33:P33"/>
    <mergeCell ref="L35:P35"/>
    <mergeCell ref="H30:J30"/>
    <mergeCell ref="M30:P30"/>
    <mergeCell ref="F81:K81"/>
    <mergeCell ref="M81:P81"/>
    <mergeCell ref="H31:J31"/>
    <mergeCell ref="M31:P31"/>
    <mergeCell ref="H32:J32"/>
    <mergeCell ref="M32:P32"/>
    <mergeCell ref="C75:Q75"/>
    <mergeCell ref="F77:P77"/>
    <mergeCell ref="N112:Q112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F116:I116"/>
    <mergeCell ref="L116:M116"/>
    <mergeCell ref="N116:Q116"/>
    <mergeCell ref="F114:I114"/>
    <mergeCell ref="L114:M114"/>
  </mergeCells>
  <hyperlinks>
    <hyperlink ref="F1:G1" location="C2" tooltip="Krycí list rozpočtu" display="1) Krycí list rozpočtu" xr:uid="{2407B6B0-9091-47E0-BE02-4920423A88E7}"/>
    <hyperlink ref="H1:K1" location="'IO01'!C93" tooltip="Rekapitulace rozpočtu" display="2) Rekapitulace rozpočtu" xr:uid="{21718261-CD14-4C09-BE61-CDF38FC00592}"/>
    <hyperlink ref="L1" location="'IO01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IO01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2" sqref="L122:M12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29" ht="37.5" customHeight="1" x14ac:dyDescent="0.3">
      <c r="C2" s="181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220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70"/>
      <c r="H6" s="270"/>
      <c r="I6" s="270"/>
      <c r="J6" s="270"/>
      <c r="K6" s="270"/>
      <c r="L6" s="270"/>
      <c r="M6" s="270"/>
      <c r="N6" s="270"/>
      <c r="O6" s="270"/>
      <c r="P6" s="270"/>
      <c r="R6" s="12"/>
    </row>
    <row r="7" spans="2:29" ht="24.95" customHeight="1" x14ac:dyDescent="0.3">
      <c r="B7" s="11"/>
      <c r="D7" s="18" t="s">
        <v>75</v>
      </c>
      <c r="F7" s="270" t="str">
        <f>Rekapitulace!J92</f>
        <v>Vyvedení elektrického výkonu FVE – střídavá část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Rekapitulace!J92</f>
        <v>Vyvedení elektrického výkonu FVE – střídavá část</v>
      </c>
      <c r="G8" s="228"/>
      <c r="H8" s="228"/>
      <c r="I8" s="228"/>
      <c r="J8" s="228"/>
      <c r="K8" s="228"/>
      <c r="L8" s="228"/>
      <c r="M8" s="178"/>
      <c r="N8" s="178"/>
      <c r="O8" s="178"/>
      <c r="P8" s="17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2" t="str">
        <f>Rekapitulace!L79</f>
        <v>Litvínov</v>
      </c>
      <c r="G10" s="182"/>
      <c r="H10" s="182"/>
      <c r="I10" s="182"/>
      <c r="J10" s="182"/>
      <c r="K10" s="182"/>
      <c r="L10" s="182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19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8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8"/>
      <c r="G16" s="278"/>
      <c r="H16" s="278"/>
      <c r="I16" s="278"/>
      <c r="J16" s="278"/>
      <c r="K16" s="278"/>
      <c r="L16" s="278"/>
      <c r="M16" s="18" t="s">
        <v>19</v>
      </c>
      <c r="O16" s="278" t="str">
        <f>IF(Rekapitulace!$AN$14="","",Rekapitulace!$AN$14)</f>
        <v>Vyplň údaj</v>
      </c>
      <c r="P16" s="278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2" t="str">
        <f>IF(Rekapitulace!$AN$16="","",Rekapitulace!$AN$16)</f>
        <v>04083351</v>
      </c>
      <c r="P18" s="17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2" t="str">
        <f>IF(Rekapitulace!$AN$17="","",Rekapitulace!$AN$17)</f>
        <v>CZ04083351</v>
      </c>
      <c r="P19" s="17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2" t="str">
        <f>IF(Rekapitulace!$AN$19="","",Rekapitulace!$AN$19)</f>
        <v>04083351</v>
      </c>
      <c r="P21" s="17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2" t="str">
        <f>IF(Rekapitulace!$AN$20="","",Rekapitulace!$AN$20)</f>
        <v>CZ04083351</v>
      </c>
      <c r="P22" s="17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$M$88</f>
        <v>0</v>
      </c>
      <c r="N25" s="218"/>
      <c r="O25" s="218"/>
      <c r="P25" s="21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303">
        <f>ROUND($M$25,2)</f>
        <v>0</v>
      </c>
      <c r="N27" s="303"/>
      <c r="O27" s="303"/>
      <c r="P27" s="303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72"/>
      <c r="J29" s="272"/>
      <c r="M29" s="272">
        <f>(H29)*$F$29</f>
        <v>0</v>
      </c>
      <c r="N29" s="272"/>
      <c r="O29" s="272"/>
      <c r="P29" s="272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72"/>
      <c r="J30" s="272"/>
      <c r="M30" s="272">
        <v>0</v>
      </c>
      <c r="N30" s="272"/>
      <c r="O30" s="272"/>
      <c r="P30" s="272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3">
        <f>(SUM($BG$90:$BG$90)+SUM($BG$109:$BG$109))</f>
        <v>0</v>
      </c>
      <c r="I31" s="178"/>
      <c r="J31" s="178"/>
      <c r="M31" s="183">
        <v>0</v>
      </c>
      <c r="N31" s="178"/>
      <c r="O31" s="178"/>
      <c r="P31" s="17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3">
        <f>(SUM($BH$90:$BH$90)+SUM($BH$109:$BH$109))</f>
        <v>0</v>
      </c>
      <c r="I32" s="178"/>
      <c r="J32" s="178"/>
      <c r="M32" s="183">
        <v>0</v>
      </c>
      <c r="N32" s="178"/>
      <c r="O32" s="178"/>
      <c r="P32" s="17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3">
        <f>(SUM($BI$90:$BI$90)+SUM($BI$109:$BI$109))</f>
        <v>0</v>
      </c>
      <c r="I33" s="178"/>
      <c r="J33" s="178"/>
      <c r="M33" s="183">
        <v>0</v>
      </c>
      <c r="N33" s="178"/>
      <c r="O33" s="178"/>
      <c r="P33" s="17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74"/>
      <c r="N35" s="274"/>
      <c r="O35" s="274"/>
      <c r="P35" s="274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17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70"/>
      <c r="H77" s="270"/>
      <c r="I77" s="270"/>
      <c r="J77" s="270"/>
      <c r="K77" s="270"/>
      <c r="L77" s="270"/>
      <c r="M77" s="270"/>
      <c r="N77" s="270"/>
      <c r="O77" s="270"/>
      <c r="P77" s="270"/>
      <c r="R77" s="22"/>
    </row>
    <row r="78" spans="2:18" ht="24.95" customHeight="1" x14ac:dyDescent="0.3">
      <c r="B78" s="11"/>
      <c r="C78" s="18" t="s">
        <v>75</v>
      </c>
      <c r="F78" s="270" t="str">
        <f>F7</f>
        <v>Vyvedení elektrického výkonu FVE – střídavá část</v>
      </c>
      <c r="G78" s="270"/>
      <c r="H78" s="270"/>
      <c r="I78" s="270"/>
      <c r="J78" s="270"/>
      <c r="K78" s="270"/>
      <c r="L78" s="270"/>
      <c r="M78" s="270"/>
      <c r="N78" s="270"/>
      <c r="O78" s="270"/>
      <c r="P78" s="270"/>
      <c r="R78" s="12"/>
    </row>
    <row r="79" spans="2:18" s="7" customFormat="1" ht="45" customHeight="1" x14ac:dyDescent="0.3">
      <c r="B79" s="21"/>
      <c r="C79" s="50" t="s">
        <v>76</v>
      </c>
      <c r="F79" s="234" t="str">
        <f>F8</f>
        <v>Vyvedení elektrického výkonu FVE – střídavá část</v>
      </c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35"/>
      <c r="O81" s="235"/>
      <c r="P81" s="23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9" t="str">
        <f>$E$13</f>
        <v>ČEPRO, a.s.</v>
      </c>
      <c r="G83" s="219"/>
      <c r="H83" s="219"/>
      <c r="I83" s="219"/>
      <c r="J83" s="219"/>
      <c r="K83" s="219"/>
      <c r="L83" s="18" t="s">
        <v>22</v>
      </c>
      <c r="M83" s="219" t="str">
        <f>$E$19</f>
        <v>YOUNG4ENERGY s.r.o.</v>
      </c>
      <c r="N83" s="219"/>
      <c r="O83" s="219"/>
      <c r="P83" s="219"/>
      <c r="Q83" s="178"/>
      <c r="R83" s="22"/>
    </row>
    <row r="84" spans="2:18" s="7" customFormat="1" ht="15" customHeight="1" x14ac:dyDescent="0.3">
      <c r="B84" s="21"/>
      <c r="C84" s="18" t="s">
        <v>20</v>
      </c>
      <c r="F84" s="219" t="str">
        <f>IF($E$16="","",$E$16)</f>
        <v>Vyplň údaj</v>
      </c>
      <c r="G84" s="219"/>
      <c r="H84" s="219"/>
      <c r="I84" s="219"/>
      <c r="J84" s="219"/>
      <c r="K84" s="219"/>
      <c r="L84" s="18" t="s">
        <v>23</v>
      </c>
      <c r="M84" s="219" t="str">
        <f>$E$22</f>
        <v>YOUNG4ENERGY s.r.o.</v>
      </c>
      <c r="N84" s="219"/>
      <c r="O84" s="219"/>
      <c r="P84" s="219"/>
      <c r="Q84" s="17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85" t="s">
        <v>79</v>
      </c>
      <c r="D86" s="184"/>
      <c r="E86" s="184"/>
      <c r="F86" s="184"/>
      <c r="G86" s="184"/>
      <c r="H86" s="29"/>
      <c r="I86" s="29"/>
      <c r="J86" s="29"/>
      <c r="K86" s="29"/>
      <c r="L86" s="29"/>
      <c r="M86" s="299" t="s">
        <v>80</v>
      </c>
      <c r="N86" s="299"/>
      <c r="O86" s="299"/>
      <c r="P86" s="299"/>
      <c r="Q86" s="299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12">
        <f>ROUND($M$109,2)</f>
        <v>0</v>
      </c>
      <c r="N88" s="212"/>
      <c r="O88" s="212"/>
      <c r="P88" s="212"/>
      <c r="Q88" s="212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56">
        <f>N110</f>
        <v>0</v>
      </c>
      <c r="N89" s="256"/>
      <c r="O89" s="256"/>
      <c r="P89" s="256"/>
      <c r="Q89" s="256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114</v>
      </c>
      <c r="D91" s="29"/>
      <c r="E91" s="29"/>
      <c r="F91" s="29"/>
      <c r="G91" s="29"/>
      <c r="H91" s="29"/>
      <c r="I91" s="29"/>
      <c r="J91" s="29"/>
      <c r="K91" s="29"/>
      <c r="L91" s="238">
        <f>ROUND(SUM(M89),2)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7" t="s">
        <v>83</v>
      </c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178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991,9 kWp v areálu Litvínov společnosti ČEPRO, a.s.</v>
      </c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R99" s="131"/>
    </row>
    <row r="100" spans="2:63" ht="24.95" customHeight="1" x14ac:dyDescent="0.3">
      <c r="B100" s="132"/>
      <c r="C100" s="18" t="s">
        <v>75</v>
      </c>
      <c r="F100" s="270" t="str">
        <f>F7</f>
        <v>Vyvedení elektrického výkonu FVE – střídavá část</v>
      </c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R100" s="133"/>
    </row>
    <row r="101" spans="2:63" s="7" customFormat="1" ht="52.5" customHeight="1" x14ac:dyDescent="0.3">
      <c r="B101" s="130"/>
      <c r="C101" s="50" t="s">
        <v>76</v>
      </c>
      <c r="F101" s="234" t="str">
        <f>F8</f>
        <v>Vyvedení elektrického výkonu FVE – střídavá část</v>
      </c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9" t="str">
        <f>$F$10</f>
        <v>Litvínov</v>
      </c>
      <c r="G103" s="219"/>
      <c r="H103" s="219"/>
      <c r="I103" s="219"/>
      <c r="J103" s="219"/>
      <c r="K103" s="219"/>
      <c r="L103" s="18" t="s">
        <v>16</v>
      </c>
      <c r="M103" s="235">
        <f ca="1">IF($O$10="","",$O$10)</f>
        <v>45238</v>
      </c>
      <c r="N103" s="235"/>
      <c r="O103" s="235"/>
      <c r="P103" s="235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9" t="str">
        <f>$E$13</f>
        <v>ČEPRO, a.s.</v>
      </c>
      <c r="G105" s="219"/>
      <c r="H105" s="219"/>
      <c r="I105" s="219"/>
      <c r="J105" s="219"/>
      <c r="K105" s="219"/>
      <c r="L105" s="18" t="s">
        <v>22</v>
      </c>
      <c r="M105" s="182" t="str">
        <f>$E$19</f>
        <v>YOUNG4ENERGY s.r.o.</v>
      </c>
      <c r="N105" s="178"/>
      <c r="O105" s="178"/>
      <c r="P105" s="178"/>
      <c r="Q105" s="178"/>
      <c r="R105" s="131"/>
    </row>
    <row r="106" spans="2:63" s="7" customFormat="1" ht="15" customHeight="1" x14ac:dyDescent="0.3">
      <c r="B106" s="130"/>
      <c r="C106" s="18" t="s">
        <v>20</v>
      </c>
      <c r="F106" s="219" t="str">
        <f>IF($E$16="","",$E$16)</f>
        <v>Vyplň údaj</v>
      </c>
      <c r="G106" s="219"/>
      <c r="H106" s="219"/>
      <c r="I106" s="219"/>
      <c r="J106" s="219"/>
      <c r="K106" s="219"/>
      <c r="L106" s="18" t="s">
        <v>23</v>
      </c>
      <c r="M106" s="182" t="str">
        <f>$E$22</f>
        <v>YOUNG4ENERGY s.r.o.</v>
      </c>
      <c r="N106" s="178"/>
      <c r="O106" s="178"/>
      <c r="P106" s="178"/>
      <c r="Q106" s="178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86" t="s">
        <v>86</v>
      </c>
      <c r="G108" s="187"/>
      <c r="H108" s="187"/>
      <c r="I108" s="187"/>
      <c r="J108" s="165" t="s">
        <v>87</v>
      </c>
      <c r="K108" s="165" t="s">
        <v>88</v>
      </c>
      <c r="L108" s="186" t="s">
        <v>89</v>
      </c>
      <c r="M108" s="304" t="s">
        <v>90</v>
      </c>
      <c r="N108" s="304"/>
      <c r="O108" s="304"/>
      <c r="P108" s="304"/>
      <c r="Q108" s="188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12">
        <f>N110</f>
        <v>0</v>
      </c>
      <c r="N109" s="212"/>
      <c r="O109" s="212"/>
      <c r="P109" s="212"/>
      <c r="Q109" s="212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187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6">
        <f>N111+N116+N118+N120</f>
        <v>0</v>
      </c>
      <c r="O110" s="276"/>
      <c r="P110" s="276"/>
      <c r="Q110" s="276"/>
      <c r="R110" s="131"/>
    </row>
    <row r="111" spans="2:63" ht="19.5" customHeight="1" x14ac:dyDescent="0.3">
      <c r="B111" s="130"/>
      <c r="C111" s="107"/>
      <c r="D111" s="112" t="s">
        <v>188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53">
        <f>SUM(N112:Q115)</f>
        <v>0</v>
      </c>
      <c r="O111" s="253"/>
      <c r="P111" s="253"/>
      <c r="Q111" s="253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8"/>
      <c r="F112" s="297" t="s">
        <v>211</v>
      </c>
      <c r="G112" s="298"/>
      <c r="H112" s="298"/>
      <c r="I112" s="298"/>
      <c r="J112" s="169" t="s">
        <v>100</v>
      </c>
      <c r="K112" s="121">
        <v>1</v>
      </c>
      <c r="L112" s="246">
        <v>0</v>
      </c>
      <c r="M112" s="247"/>
      <c r="N112" s="244">
        <f>ROUND(L112*K112,2)</f>
        <v>0</v>
      </c>
      <c r="O112" s="245"/>
      <c r="P112" s="245"/>
      <c r="Q112" s="245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8"/>
      <c r="F113" s="297" t="s">
        <v>193</v>
      </c>
      <c r="G113" s="298"/>
      <c r="H113" s="298"/>
      <c r="I113" s="298"/>
      <c r="J113" s="169" t="s">
        <v>100</v>
      </c>
      <c r="K113" s="121">
        <v>1</v>
      </c>
      <c r="L113" s="246">
        <v>0</v>
      </c>
      <c r="M113" s="247"/>
      <c r="N113" s="244">
        <f>ROUND(L113*K113,2)</f>
        <v>0</v>
      </c>
      <c r="O113" s="245"/>
      <c r="P113" s="245"/>
      <c r="Q113" s="245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68"/>
      <c r="F114" s="297" t="s">
        <v>243</v>
      </c>
      <c r="G114" s="298"/>
      <c r="H114" s="298"/>
      <c r="I114" s="298"/>
      <c r="J114" s="169" t="s">
        <v>100</v>
      </c>
      <c r="K114" s="121">
        <v>1</v>
      </c>
      <c r="L114" s="246">
        <v>0</v>
      </c>
      <c r="M114" s="247"/>
      <c r="N114" s="244">
        <f>ROUND(L114*K114,2)</f>
        <v>0</v>
      </c>
      <c r="O114" s="245"/>
      <c r="P114" s="245"/>
      <c r="Q114" s="245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68"/>
      <c r="F115" s="297" t="s">
        <v>194</v>
      </c>
      <c r="G115" s="298"/>
      <c r="H115" s="298"/>
      <c r="I115" s="298"/>
      <c r="J115" s="169" t="s">
        <v>100</v>
      </c>
      <c r="K115" s="121">
        <v>1</v>
      </c>
      <c r="L115" s="246">
        <v>0</v>
      </c>
      <c r="M115" s="247"/>
      <c r="N115" s="244">
        <f>ROUND(L115*K115,2)</f>
        <v>0</v>
      </c>
      <c r="O115" s="245"/>
      <c r="P115" s="245"/>
      <c r="Q115" s="245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217</v>
      </c>
      <c r="E116" s="112"/>
      <c r="F116" s="195"/>
      <c r="G116" s="195"/>
      <c r="H116" s="195"/>
      <c r="I116" s="195"/>
      <c r="J116" s="112"/>
      <c r="K116" s="112"/>
      <c r="L116" s="112"/>
      <c r="M116" s="112"/>
      <c r="N116" s="258">
        <f>SUM(N117)</f>
        <v>0</v>
      </c>
      <c r="O116" s="258"/>
      <c r="P116" s="258"/>
      <c r="Q116" s="258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8"/>
      <c r="F117" s="300" t="s">
        <v>195</v>
      </c>
      <c r="G117" s="301" t="s">
        <v>189</v>
      </c>
      <c r="H117" s="301" t="s">
        <v>189</v>
      </c>
      <c r="I117" s="301" t="s">
        <v>189</v>
      </c>
      <c r="J117" s="169" t="s">
        <v>100</v>
      </c>
      <c r="K117" s="121">
        <v>1</v>
      </c>
      <c r="L117" s="246">
        <v>0</v>
      </c>
      <c r="M117" s="247"/>
      <c r="N117" s="244">
        <f>ROUND(L117*K117,2)</f>
        <v>0</v>
      </c>
      <c r="O117" s="302"/>
      <c r="P117" s="302"/>
      <c r="Q117" s="302"/>
      <c r="R117" s="131"/>
    </row>
    <row r="118" spans="1:63" s="7" customFormat="1" ht="18" customHeight="1" x14ac:dyDescent="0.3">
      <c r="B118" s="130"/>
      <c r="C118" s="113"/>
      <c r="D118" s="112" t="s">
        <v>190</v>
      </c>
      <c r="E118" s="112"/>
      <c r="F118" s="195"/>
      <c r="G118" s="195"/>
      <c r="H118" s="195"/>
      <c r="I118" s="195"/>
      <c r="J118" s="112"/>
      <c r="K118" s="112"/>
      <c r="L118" s="112"/>
      <c r="M118" s="112"/>
      <c r="N118" s="258">
        <f>SUM(N119)</f>
        <v>0</v>
      </c>
      <c r="O118" s="258"/>
      <c r="P118" s="258"/>
      <c r="Q118" s="258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2"/>
      <c r="F119" s="259" t="s">
        <v>196</v>
      </c>
      <c r="G119" s="260"/>
      <c r="H119" s="260"/>
      <c r="I119" s="261"/>
      <c r="J119" s="169" t="s">
        <v>100</v>
      </c>
      <c r="K119" s="173">
        <v>1</v>
      </c>
      <c r="L119" s="295">
        <v>0</v>
      </c>
      <c r="M119" s="296"/>
      <c r="N119" s="248">
        <f>ROUND(L119*K119,2)</f>
        <v>0</v>
      </c>
      <c r="O119" s="249"/>
      <c r="P119" s="249"/>
      <c r="Q119" s="250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200</v>
      </c>
      <c r="E120" s="112"/>
      <c r="F120" s="195"/>
      <c r="G120" s="195"/>
      <c r="H120" s="195"/>
      <c r="I120" s="195"/>
      <c r="J120" s="112"/>
      <c r="K120" s="112"/>
      <c r="L120" s="112"/>
      <c r="M120" s="112"/>
      <c r="N120" s="262">
        <f>SUM(N121:Q122)</f>
        <v>0</v>
      </c>
      <c r="O120" s="262"/>
      <c r="P120" s="262"/>
      <c r="Q120" s="262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4"/>
      <c r="F121" s="241" t="s">
        <v>165</v>
      </c>
      <c r="G121" s="242"/>
      <c r="H121" s="242"/>
      <c r="I121" s="243"/>
      <c r="J121" s="175" t="s">
        <v>100</v>
      </c>
      <c r="K121" s="173">
        <v>1</v>
      </c>
      <c r="L121" s="295">
        <v>0</v>
      </c>
      <c r="M121" s="296"/>
      <c r="N121" s="248">
        <f>ROUND(K121*L121,2)</f>
        <v>0</v>
      </c>
      <c r="O121" s="249"/>
      <c r="P121" s="249"/>
      <c r="Q121" s="250"/>
      <c r="R121" s="133"/>
    </row>
    <row r="122" spans="1:63" ht="51.6" customHeight="1" x14ac:dyDescent="0.3">
      <c r="B122" s="130"/>
      <c r="C122" s="143">
        <f>C121+1</f>
        <v>8</v>
      </c>
      <c r="D122" s="143"/>
      <c r="E122" s="172"/>
      <c r="F122" s="241" t="s">
        <v>149</v>
      </c>
      <c r="G122" s="242"/>
      <c r="H122" s="242"/>
      <c r="I122" s="243"/>
      <c r="J122" s="169" t="s">
        <v>100</v>
      </c>
      <c r="K122" s="173">
        <v>1</v>
      </c>
      <c r="L122" s="295">
        <v>0</v>
      </c>
      <c r="M122" s="295"/>
      <c r="N122" s="248">
        <f>ROUND(K122*L122,2)</f>
        <v>0</v>
      </c>
      <c r="O122" s="249"/>
      <c r="P122" s="249"/>
      <c r="Q122" s="250"/>
      <c r="R122" s="133"/>
    </row>
    <row r="123" spans="1:63" ht="14.25" customHeight="1" x14ac:dyDescent="0.3">
      <c r="B123" s="176"/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9"/>
      <c r="O123" s="179"/>
      <c r="P123" s="179"/>
      <c r="Q123" s="179"/>
      <c r="R123" s="110"/>
    </row>
  </sheetData>
  <sheetProtection algorithmName="SHA-512" hashValue="K6VaJ2q/cuns1960vfygWEyNJDAXfOiCVZqr5gqyU38VrXQZHdzl86q05+87EZNWfC8NKBA9rZjbaim0qHKdXA==" saltValue="LfdeB4CeaL2D4vfTFUSXww==" spinCount="100000" sheet="1" objects="1" scenarios="1" selectLockedCells="1"/>
  <mergeCells count="71"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2" sqref="L122:M12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29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94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29" ht="24.95" customHeight="1" x14ac:dyDescent="0.3">
      <c r="B7" s="11"/>
      <c r="D7" s="18" t="s">
        <v>75</v>
      </c>
      <c r="F7" s="270" t="str">
        <f>Rekapitulace!J93</f>
        <v>Vedení elektrického výkonu z nové trafostanice do stávajících rozvodů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Rekapitulace!J93</f>
        <v>Vedení elektrického výkonu z nové trafostanice do stávajících rozvodů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9" t="str">
        <f>Rekapitulace!L79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$N$88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(H29)*$F$29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08"/>
      <c r="J30" s="208"/>
      <c r="M30" s="272"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(SUM($BG$90:$BG$90)+SUM($BG$109:$BG$109))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(SUM($BH$90:$BH$90)+SUM($BH$109:$BH$109))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(SUM($BI$90:$BI$90)+SUM($BI$109:$BI$109))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7" t="s">
        <v>78</v>
      </c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991,9 kWp v areálu Litvínov společnosti ČEPRO, a.s.</v>
      </c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R77" s="22"/>
    </row>
    <row r="78" spans="2:18" ht="24.95" customHeight="1" x14ac:dyDescent="0.3">
      <c r="B78" s="11"/>
      <c r="C78" s="18" t="s">
        <v>75</v>
      </c>
      <c r="F78" s="270" t="str">
        <f>F7</f>
        <v>Vedení elektrického výkonu z nové trafostanice do stávajících rozvodů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12"/>
    </row>
    <row r="79" spans="2:18" s="7" customFormat="1" ht="37.5" customHeight="1" x14ac:dyDescent="0.3">
      <c r="B79" s="21"/>
      <c r="C79" s="50" t="s">
        <v>76</v>
      </c>
      <c r="F79" s="234" t="str">
        <f>F8</f>
        <v>Vedení elektrického výkonu z nové trafostanice do stávajících rozvodů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J81" s="273"/>
      <c r="K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12">
        <f>ROUND($M$109,2)</f>
        <v>0</v>
      </c>
      <c r="O88" s="208"/>
      <c r="P88" s="208"/>
      <c r="Q88" s="208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N110</f>
        <v>0</v>
      </c>
      <c r="O89" s="257"/>
      <c r="P89" s="257"/>
      <c r="Q89" s="257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114</v>
      </c>
      <c r="D91" s="29"/>
      <c r="E91" s="29"/>
      <c r="F91" s="29"/>
      <c r="G91" s="29"/>
      <c r="H91" s="29"/>
      <c r="I91" s="29"/>
      <c r="J91" s="29"/>
      <c r="K91" s="29"/>
      <c r="L91" s="238">
        <f>ROUND(SUM($N$89:$Q$89),2)</f>
        <v>0</v>
      </c>
      <c r="M91" s="239"/>
      <c r="N91" s="239"/>
      <c r="O91" s="239"/>
      <c r="P91" s="239"/>
      <c r="Q91" s="239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7" t="s">
        <v>83</v>
      </c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991,9 kWp v areálu Litvínov společnosti ČEPRO, a.s.</v>
      </c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R99" s="131"/>
    </row>
    <row r="100" spans="2:63" ht="24.95" customHeight="1" x14ac:dyDescent="0.3">
      <c r="B100" s="132"/>
      <c r="C100" s="18" t="s">
        <v>75</v>
      </c>
      <c r="F100" s="270" t="str">
        <f>F7</f>
        <v>Vedení elektrického výkonu z nové trafostanice do stávajících rozvodů</v>
      </c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R100" s="133"/>
    </row>
    <row r="101" spans="2:63" s="7" customFormat="1" ht="52.5" customHeight="1" x14ac:dyDescent="0.3">
      <c r="B101" s="130"/>
      <c r="C101" s="50" t="s">
        <v>76</v>
      </c>
      <c r="F101" s="234" t="str">
        <f>F8</f>
        <v>Vedení elektrického výkonu z nové trafostanice do stávajících rozvodů</v>
      </c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Litvínov</v>
      </c>
      <c r="L103" s="18" t="s">
        <v>16</v>
      </c>
      <c r="M103" s="235">
        <f ca="1">IF($O$10="","",$O$10)</f>
        <v>45238</v>
      </c>
      <c r="N103" s="208"/>
      <c r="O103" s="208"/>
      <c r="P103" s="208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9" t="str">
        <f>$E$19</f>
        <v>YOUNG4ENERGY s.r.o.</v>
      </c>
      <c r="N105" s="208"/>
      <c r="O105" s="208"/>
      <c r="P105" s="208"/>
      <c r="Q105" s="208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9" t="str">
        <f>$E$22</f>
        <v>YOUNG4ENERGY s.r.o.</v>
      </c>
      <c r="N106" s="208"/>
      <c r="O106" s="208"/>
      <c r="P106" s="208"/>
      <c r="Q106" s="208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05">
        <f>N110</f>
        <v>0</v>
      </c>
      <c r="N109" s="305"/>
      <c r="O109" s="305"/>
      <c r="P109" s="305"/>
      <c r="Q109" s="305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187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6">
        <f>N111+N116+N118+N120+N123</f>
        <v>0</v>
      </c>
      <c r="O110" s="276"/>
      <c r="P110" s="276"/>
      <c r="Q110" s="276"/>
      <c r="R110" s="131"/>
    </row>
    <row r="111" spans="2:63" ht="19.5" customHeight="1" x14ac:dyDescent="0.3">
      <c r="B111" s="130"/>
      <c r="C111" s="107"/>
      <c r="D111" s="112" t="s">
        <v>188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53">
        <f>SUM(N112:Q115)</f>
        <v>0</v>
      </c>
      <c r="O111" s="253"/>
      <c r="P111" s="253"/>
      <c r="Q111" s="253"/>
      <c r="R111" s="131"/>
    </row>
    <row r="112" spans="2:63" s="7" customFormat="1" ht="30" customHeight="1" x14ac:dyDescent="0.3">
      <c r="B112" s="130"/>
      <c r="C112" s="120">
        <v>1</v>
      </c>
      <c r="D112" s="122"/>
      <c r="E112" s="168"/>
      <c r="F112" s="297" t="s">
        <v>211</v>
      </c>
      <c r="G112" s="298"/>
      <c r="H112" s="298"/>
      <c r="I112" s="298"/>
      <c r="J112" s="169" t="s">
        <v>100</v>
      </c>
      <c r="K112" s="121">
        <v>1</v>
      </c>
      <c r="L112" s="246">
        <v>0</v>
      </c>
      <c r="M112" s="247"/>
      <c r="N112" s="244">
        <f>ROUND(L112*K112,2)</f>
        <v>0</v>
      </c>
      <c r="O112" s="245"/>
      <c r="P112" s="245"/>
      <c r="Q112" s="245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8"/>
      <c r="F113" s="297" t="s">
        <v>193</v>
      </c>
      <c r="G113" s="298"/>
      <c r="H113" s="298"/>
      <c r="I113" s="298"/>
      <c r="J113" s="169" t="s">
        <v>100</v>
      </c>
      <c r="K113" s="121">
        <v>1</v>
      </c>
      <c r="L113" s="246">
        <v>0</v>
      </c>
      <c r="M113" s="247"/>
      <c r="N113" s="244">
        <f>ROUND(L113*K113,2)</f>
        <v>0</v>
      </c>
      <c r="O113" s="245"/>
      <c r="P113" s="245"/>
      <c r="Q113" s="245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68"/>
      <c r="F114" s="297" t="s">
        <v>218</v>
      </c>
      <c r="G114" s="298"/>
      <c r="H114" s="298"/>
      <c r="I114" s="298"/>
      <c r="J114" s="169" t="s">
        <v>100</v>
      </c>
      <c r="K114" s="121">
        <v>1</v>
      </c>
      <c r="L114" s="246">
        <v>0</v>
      </c>
      <c r="M114" s="247"/>
      <c r="N114" s="244">
        <f>ROUND(L114*K114,2)</f>
        <v>0</v>
      </c>
      <c r="O114" s="245"/>
      <c r="P114" s="245"/>
      <c r="Q114" s="245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68"/>
      <c r="F115" s="297" t="s">
        <v>194</v>
      </c>
      <c r="G115" s="298"/>
      <c r="H115" s="298"/>
      <c r="I115" s="298"/>
      <c r="J115" s="169" t="s">
        <v>100</v>
      </c>
      <c r="K115" s="121">
        <v>1</v>
      </c>
      <c r="L115" s="246">
        <v>0</v>
      </c>
      <c r="M115" s="247"/>
      <c r="N115" s="244">
        <f>ROUND(L115*K115,2)</f>
        <v>0</v>
      </c>
      <c r="O115" s="245"/>
      <c r="P115" s="245"/>
      <c r="Q115" s="245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217</v>
      </c>
      <c r="E116" s="112"/>
      <c r="F116" s="195"/>
      <c r="G116" s="195"/>
      <c r="H116" s="195"/>
      <c r="I116" s="195"/>
      <c r="J116" s="112"/>
      <c r="K116" s="112"/>
      <c r="L116" s="112"/>
      <c r="M116" s="112"/>
      <c r="N116" s="258">
        <f>SUM(N117)</f>
        <v>0</v>
      </c>
      <c r="O116" s="258"/>
      <c r="P116" s="258"/>
      <c r="Q116" s="258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8"/>
      <c r="F117" s="300" t="s">
        <v>195</v>
      </c>
      <c r="G117" s="301" t="s">
        <v>189</v>
      </c>
      <c r="H117" s="301" t="s">
        <v>189</v>
      </c>
      <c r="I117" s="301" t="s">
        <v>189</v>
      </c>
      <c r="J117" s="169" t="s">
        <v>100</v>
      </c>
      <c r="K117" s="121">
        <v>1</v>
      </c>
      <c r="L117" s="246">
        <v>0</v>
      </c>
      <c r="M117" s="247"/>
      <c r="N117" s="244">
        <f>ROUND(L117*K117,2)</f>
        <v>0</v>
      </c>
      <c r="O117" s="302"/>
      <c r="P117" s="302"/>
      <c r="Q117" s="302"/>
      <c r="R117" s="131"/>
    </row>
    <row r="118" spans="1:63" s="7" customFormat="1" ht="18" customHeight="1" x14ac:dyDescent="0.3">
      <c r="B118" s="130"/>
      <c r="C118" s="113"/>
      <c r="D118" s="112" t="s">
        <v>190</v>
      </c>
      <c r="E118" s="112"/>
      <c r="F118" s="195"/>
      <c r="G118" s="195"/>
      <c r="H118" s="195"/>
      <c r="I118" s="195"/>
      <c r="J118" s="112"/>
      <c r="K118" s="112"/>
      <c r="L118" s="112"/>
      <c r="M118" s="112"/>
      <c r="N118" s="258">
        <f>SUM(N119)</f>
        <v>0</v>
      </c>
      <c r="O118" s="258"/>
      <c r="P118" s="258"/>
      <c r="Q118" s="258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2"/>
      <c r="F119" s="259" t="s">
        <v>222</v>
      </c>
      <c r="G119" s="260"/>
      <c r="H119" s="260"/>
      <c r="I119" s="261"/>
      <c r="J119" s="169" t="s">
        <v>100</v>
      </c>
      <c r="K119" s="173">
        <v>1</v>
      </c>
      <c r="L119" s="295">
        <v>0</v>
      </c>
      <c r="M119" s="296"/>
      <c r="N119" s="248">
        <f>ROUND(L119*K119,2)</f>
        <v>0</v>
      </c>
      <c r="O119" s="249"/>
      <c r="P119" s="249"/>
      <c r="Q119" s="250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200</v>
      </c>
      <c r="E120" s="112"/>
      <c r="F120" s="195"/>
      <c r="G120" s="195"/>
      <c r="H120" s="195"/>
      <c r="I120" s="195"/>
      <c r="J120" s="112"/>
      <c r="K120" s="112"/>
      <c r="L120" s="112"/>
      <c r="M120" s="112"/>
      <c r="N120" s="262">
        <f>SUM(N121:Q122)</f>
        <v>0</v>
      </c>
      <c r="O120" s="262"/>
      <c r="P120" s="262"/>
      <c r="Q120" s="262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4"/>
      <c r="F121" s="241" t="s">
        <v>165</v>
      </c>
      <c r="G121" s="242"/>
      <c r="H121" s="242"/>
      <c r="I121" s="243"/>
      <c r="J121" s="175" t="s">
        <v>100</v>
      </c>
      <c r="K121" s="173">
        <v>1</v>
      </c>
      <c r="L121" s="295">
        <v>0</v>
      </c>
      <c r="M121" s="296"/>
      <c r="N121" s="248">
        <f>ROUND(K121*L121,2)</f>
        <v>0</v>
      </c>
      <c r="O121" s="249"/>
      <c r="P121" s="249"/>
      <c r="Q121" s="250"/>
      <c r="R121" s="133"/>
    </row>
    <row r="122" spans="1:63" ht="72" customHeight="1" x14ac:dyDescent="0.3">
      <c r="B122" s="130"/>
      <c r="C122" s="143">
        <f>C121+1</f>
        <v>8</v>
      </c>
      <c r="D122" s="143"/>
      <c r="E122" s="172"/>
      <c r="F122" s="241" t="s">
        <v>149</v>
      </c>
      <c r="G122" s="242"/>
      <c r="H122" s="242"/>
      <c r="I122" s="243"/>
      <c r="J122" s="169" t="s">
        <v>100</v>
      </c>
      <c r="K122" s="173">
        <v>1</v>
      </c>
      <c r="L122" s="295">
        <v>0</v>
      </c>
      <c r="M122" s="295"/>
      <c r="N122" s="248">
        <f>ROUND(K122*L122,2)</f>
        <v>0</v>
      </c>
      <c r="O122" s="249"/>
      <c r="P122" s="249"/>
      <c r="Q122" s="250"/>
      <c r="R122" s="133"/>
    </row>
    <row r="123" spans="1:63" ht="25.5" customHeight="1" x14ac:dyDescent="0.3">
      <c r="B123" s="130"/>
      <c r="C123" s="113"/>
      <c r="D123" s="112" t="s">
        <v>246</v>
      </c>
      <c r="E123" s="112"/>
      <c r="F123" s="195"/>
      <c r="G123" s="195"/>
      <c r="H123" s="195"/>
      <c r="I123" s="195"/>
      <c r="J123" s="112"/>
      <c r="K123" s="112"/>
      <c r="L123" s="112"/>
      <c r="M123" s="112"/>
      <c r="N123" s="262">
        <f>SUM(N124)</f>
        <v>0</v>
      </c>
      <c r="O123" s="262"/>
      <c r="P123" s="262"/>
      <c r="Q123" s="262"/>
      <c r="R123" s="133"/>
    </row>
    <row r="124" spans="1:63" ht="72" customHeight="1" x14ac:dyDescent="0.3">
      <c r="B124" s="130"/>
      <c r="C124" s="143">
        <f>C122+1</f>
        <v>9</v>
      </c>
      <c r="D124" s="143"/>
      <c r="E124" s="174"/>
      <c r="F124" s="241" t="s">
        <v>247</v>
      </c>
      <c r="G124" s="242"/>
      <c r="H124" s="242"/>
      <c r="I124" s="243"/>
      <c r="J124" s="175" t="s">
        <v>100</v>
      </c>
      <c r="K124" s="173">
        <v>1</v>
      </c>
      <c r="L124" s="295">
        <v>0</v>
      </c>
      <c r="M124" s="296"/>
      <c r="N124" s="248">
        <f>ROUND(K124*L124,2)</f>
        <v>0</v>
      </c>
      <c r="O124" s="249"/>
      <c r="P124" s="249"/>
      <c r="Q124" s="250"/>
      <c r="R124" s="133"/>
    </row>
    <row r="125" spans="1:63" ht="14.25" customHeight="1" x14ac:dyDescent="0.3">
      <c r="B125" s="176"/>
      <c r="C125" s="177"/>
      <c r="D125" s="177"/>
      <c r="E125" s="177"/>
      <c r="F125" s="177"/>
      <c r="G125" s="177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10"/>
    </row>
  </sheetData>
  <sheetProtection algorithmName="SHA-512" hashValue="9NHv1iL6NeyTj2j+W/fnpmtOR9WN0LxGvdQfIM1H4eG9eB3WZez39DutlzgvpSkOjN0xpaTFvlwSBCBuFkTnmg==" saltValue="AUIhaL8mp+BI9Onl/Gj/5w==" spinCount="100000" sheet="1" objects="1" scenarios="1" selectLockedCells="1"/>
  <mergeCells count="88">
    <mergeCell ref="N123:Q123"/>
    <mergeCell ref="F124:I124"/>
    <mergeCell ref="L124:M124"/>
    <mergeCell ref="N124:Q124"/>
    <mergeCell ref="H29:J29"/>
    <mergeCell ref="M29:P29"/>
    <mergeCell ref="F79:P79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M25:P25"/>
    <mergeCell ref="M27:P27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H1:K1"/>
    <mergeCell ref="C2:Q2"/>
    <mergeCell ref="S2:AC2"/>
    <mergeCell ref="C4:Q4"/>
    <mergeCell ref="F6:P6"/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F99:P99"/>
    <mergeCell ref="N114:Q114"/>
    <mergeCell ref="L115:M115"/>
    <mergeCell ref="N115:Q115"/>
    <mergeCell ref="F101:P101"/>
    <mergeCell ref="M103:P103"/>
    <mergeCell ref="M105:Q105"/>
    <mergeCell ref="M106:Q106"/>
    <mergeCell ref="F108:I108"/>
    <mergeCell ref="L108:M108"/>
    <mergeCell ref="N108:Q108"/>
    <mergeCell ref="M109:Q109"/>
    <mergeCell ref="F115:I115"/>
    <mergeCell ref="F112:I112"/>
    <mergeCell ref="F113:I113"/>
    <mergeCell ref="F114:I114"/>
    <mergeCell ref="L114:M114"/>
    <mergeCell ref="N110:Q110"/>
    <mergeCell ref="N111:Q111"/>
    <mergeCell ref="L112:M112"/>
    <mergeCell ref="N112:Q112"/>
    <mergeCell ref="L113:M113"/>
    <mergeCell ref="N113:Q113"/>
    <mergeCell ref="F122:I122"/>
    <mergeCell ref="L122:M122"/>
    <mergeCell ref="N122:Q122"/>
    <mergeCell ref="F119:I119"/>
    <mergeCell ref="F117:I117"/>
    <mergeCell ref="N117:Q117"/>
    <mergeCell ref="N118:Q118"/>
    <mergeCell ref="L119:M119"/>
    <mergeCell ref="N119:Q119"/>
    <mergeCell ref="N120:Q120"/>
    <mergeCell ref="N116:Q116"/>
    <mergeCell ref="L117:M117"/>
    <mergeCell ref="F121:I121"/>
    <mergeCell ref="L121:M121"/>
    <mergeCell ref="N121:Q121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40"/>
  <sheetViews>
    <sheetView showGridLines="0" zoomScaleNormal="100" zoomScaleSheetLayoutView="115" workbookViewId="0">
      <pane ySplit="1" topLeftCell="A2" activePane="bottomLeft" state="frozenSplit"/>
      <selection activeCell="F151" sqref="F151:I151"/>
      <selection pane="bottomLeft" activeCell="L137" sqref="L137:M137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1" customFormat="1" ht="22.5" customHeight="1" x14ac:dyDescent="0.3">
      <c r="B1" s="190"/>
      <c r="C1" s="190"/>
      <c r="D1" s="3" t="s">
        <v>0</v>
      </c>
      <c r="E1" s="190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0"/>
      <c r="N1" s="190"/>
      <c r="O1" s="3" t="s">
        <v>73</v>
      </c>
      <c r="P1" s="190"/>
      <c r="Q1" s="190"/>
      <c r="R1" s="190"/>
      <c r="S1" s="4" t="s">
        <v>109</v>
      </c>
      <c r="T1" s="4"/>
    </row>
    <row r="2" spans="2:46" ht="37.5" customHeight="1" x14ac:dyDescent="0.3">
      <c r="C2" s="282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294" t="s">
        <v>3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07" t="s">
        <v>74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70" t="str">
        <f>Rekapitulace!$K$6</f>
        <v>Instalace nové fotovoltaické elektrárny s výkonem 991,9 kWp v areálu Litvínov společnosti ČEPRO, a.s.</v>
      </c>
      <c r="G6" s="215"/>
      <c r="H6" s="215"/>
      <c r="I6" s="215"/>
      <c r="J6" s="215"/>
      <c r="K6" s="215"/>
      <c r="L6" s="215"/>
      <c r="M6" s="215"/>
      <c r="N6" s="215"/>
      <c r="O6" s="215"/>
      <c r="P6" s="215"/>
      <c r="R6" s="12"/>
    </row>
    <row r="7" spans="2:46" ht="24.95" customHeight="1" x14ac:dyDescent="0.3">
      <c r="B7" s="11"/>
      <c r="D7" s="18" t="s">
        <v>75</v>
      </c>
      <c r="F7" s="270" t="str">
        <f>Rekapitulace!J94</f>
        <v>Vedlejší náklady, Ostatní náklady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R7" s="12"/>
    </row>
    <row r="8" spans="2:46" s="7" customFormat="1" ht="33.75" customHeight="1" x14ac:dyDescent="0.3">
      <c r="B8" s="21"/>
      <c r="D8" s="17" t="s">
        <v>76</v>
      </c>
      <c r="F8" s="228" t="str">
        <f>Rekapitulace!J94</f>
        <v>Vedlejší náklady, Ostatní náklady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R8" s="22"/>
    </row>
    <row r="9" spans="2:46" s="7" customFormat="1" ht="15" customHeight="1" x14ac:dyDescent="0.3">
      <c r="B9" s="21"/>
      <c r="D9" s="18" t="s">
        <v>13</v>
      </c>
      <c r="F9" s="219"/>
      <c r="G9" s="219"/>
      <c r="H9" s="219"/>
      <c r="I9" s="219"/>
      <c r="J9" s="219"/>
      <c r="K9" s="219"/>
      <c r="L9" s="219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9" t="str">
        <f>Rekapitulace!K8</f>
        <v>Litvínov</v>
      </c>
      <c r="G10" s="219"/>
      <c r="H10" s="219"/>
      <c r="I10" s="219"/>
      <c r="J10" s="219"/>
      <c r="K10" s="219"/>
      <c r="L10" s="219"/>
      <c r="M10" s="18" t="s">
        <v>16</v>
      </c>
      <c r="O10" s="283">
        <f ca="1">Rekapitulace!$AN$8</f>
        <v>45238</v>
      </c>
      <c r="P10" s="279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9">
        <f>IF(Rekapitulace!$AN$10="","",Rekapitulace!$AN$10)</f>
        <v>60193531</v>
      </c>
      <c r="P12" s="208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9" t="str">
        <f>IF(Rekapitulace!$AN$11="","",Rekapitulace!$AN$11)</f>
        <v>CZ60193531</v>
      </c>
      <c r="P13" s="208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46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9" t="str">
        <f>IF(Rekapitulace!$AN$16="","",Rekapitulace!$AN$16)</f>
        <v>04083351</v>
      </c>
      <c r="P18" s="208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9" t="str">
        <f>IF(Rekapitulace!$AN$17="","",Rekapitulace!$AN$17)</f>
        <v>CZ04083351</v>
      </c>
      <c r="P19" s="208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9" t="str">
        <f>IF(Rekapitulace!$AN$19="","",Rekapitulace!$AN$19)</f>
        <v>04083351</v>
      </c>
      <c r="P21" s="208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9" t="str">
        <f>IF(Rekapitulace!$AN$20="","",Rekapitulace!$AN$20)</f>
        <v>CZ04083351</v>
      </c>
      <c r="P22" s="208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8">
        <f>$N$88</f>
        <v>0</v>
      </c>
      <c r="N25" s="208"/>
      <c r="O25" s="208"/>
      <c r="P25" s="208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08"/>
      <c r="O27" s="208"/>
      <c r="P27" s="20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08"/>
      <c r="J29" s="208"/>
      <c r="M29" s="272">
        <f>H29*F29</f>
        <v>0</v>
      </c>
      <c r="N29" s="208"/>
      <c r="O29" s="208"/>
      <c r="P29" s="208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08"/>
      <c r="J30" s="208"/>
      <c r="M30" s="272">
        <v>0</v>
      </c>
      <c r="N30" s="208"/>
      <c r="O30" s="208"/>
      <c r="P30" s="208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(SUM($BG$91:$BG$91)+SUM($BG$109:$BG$127))</f>
        <v>0</v>
      </c>
      <c r="I31" s="208"/>
      <c r="J31" s="208"/>
      <c r="M31" s="272">
        <v>0</v>
      </c>
      <c r="N31" s="208"/>
      <c r="O31" s="208"/>
      <c r="P31" s="208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(SUM($BH$91:$BH$91)+SUM($BH$109:$BH$127))</f>
        <v>0</v>
      </c>
      <c r="I32" s="208"/>
      <c r="J32" s="208"/>
      <c r="M32" s="272">
        <v>0</v>
      </c>
      <c r="N32" s="208"/>
      <c r="O32" s="208"/>
      <c r="P32" s="208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(SUM($BI$91:$BI$91)+SUM($BI$109:$BI$127))</f>
        <v>0</v>
      </c>
      <c r="I33" s="208"/>
      <c r="J33" s="208"/>
      <c r="M33" s="272">
        <v>0</v>
      </c>
      <c r="N33" s="208"/>
      <c r="O33" s="208"/>
      <c r="P33" s="208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07" t="s">
        <v>78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70" t="str">
        <f>$F$6</f>
        <v>Instalace nové fotovoltaické elektrárny s výkonem 991,9 kWp v areálu Litvínov společnosti ČEPRO, a.s.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R78" s="22"/>
    </row>
    <row r="79" spans="2:18" s="7" customFormat="1" ht="37.5" customHeight="1" x14ac:dyDescent="0.3">
      <c r="B79" s="21"/>
      <c r="C79" s="50" t="s">
        <v>75</v>
      </c>
      <c r="F79" s="234" t="str">
        <f>$F$8</f>
        <v>Vedlejší náklady, Ostatní náklady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73" t="str">
        <f>$F$10</f>
        <v>Litvínov</v>
      </c>
      <c r="G81" s="273"/>
      <c r="H81" s="273"/>
      <c r="I81" s="273"/>
      <c r="L81" s="18" t="s">
        <v>16</v>
      </c>
      <c r="M81" s="235">
        <f ca="1">IF($O$10="","",$O$10)</f>
        <v>45238</v>
      </c>
      <c r="N81" s="208"/>
      <c r="O81" s="208"/>
      <c r="P81" s="208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9" t="str">
        <f>$E$19</f>
        <v>YOUNG4ENERGY s.r.o.</v>
      </c>
      <c r="N83" s="208"/>
      <c r="O83" s="208"/>
      <c r="P83" s="208"/>
      <c r="Q83" s="208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9" t="str">
        <f>$E$22</f>
        <v>YOUNG4ENERGY s.r.o.</v>
      </c>
      <c r="N84" s="208"/>
      <c r="O84" s="208"/>
      <c r="P84" s="208"/>
      <c r="Q84" s="208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77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0" t="s">
        <v>80</v>
      </c>
      <c r="O86" s="208"/>
      <c r="P86" s="208"/>
      <c r="Q86" s="208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12">
        <f>ROUND($N$89+N90,2)</f>
        <v>0</v>
      </c>
      <c r="O88" s="208"/>
      <c r="P88" s="208"/>
      <c r="Q88" s="208"/>
      <c r="R88" s="22"/>
      <c r="AU88" s="7" t="s">
        <v>82</v>
      </c>
    </row>
    <row r="89" spans="2:47" s="63" customFormat="1" ht="25.5" customHeight="1" x14ac:dyDescent="0.35">
      <c r="B89" s="89"/>
      <c r="D89" s="101" t="s">
        <v>118</v>
      </c>
      <c r="N89" s="256">
        <f>ROUND($N$110,2)</f>
        <v>0</v>
      </c>
      <c r="O89" s="257"/>
      <c r="P89" s="257"/>
      <c r="Q89" s="257"/>
      <c r="R89" s="90"/>
    </row>
    <row r="90" spans="2:47" s="75" customFormat="1" ht="21" customHeight="1" x14ac:dyDescent="0.35">
      <c r="B90" s="91"/>
      <c r="C90" s="63"/>
      <c r="D90" s="101" t="s">
        <v>125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ROUND($N$133,2)</f>
        <v>0</v>
      </c>
      <c r="O90" s="257"/>
      <c r="P90" s="257"/>
      <c r="Q90" s="257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114</v>
      </c>
      <c r="D92" s="29"/>
      <c r="E92" s="29"/>
      <c r="F92" s="29"/>
      <c r="G92" s="29"/>
      <c r="H92" s="29"/>
      <c r="I92" s="29"/>
      <c r="J92" s="29"/>
      <c r="K92" s="29"/>
      <c r="L92" s="238">
        <f>ROUND(SUM($N$88),2)</f>
        <v>0</v>
      </c>
      <c r="M92" s="239"/>
      <c r="N92" s="239"/>
      <c r="O92" s="239"/>
      <c r="P92" s="239"/>
      <c r="Q92" s="239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07" t="s">
        <v>83</v>
      </c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70" t="str">
        <f>$F$6</f>
        <v>Instalace nové fotovoltaické elektrárny s výkonem 991,9 kWp v areálu Litvínov společnosti ČEPRO, a.s.</v>
      </c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R100" s="22"/>
    </row>
    <row r="101" spans="2:64" s="7" customFormat="1" ht="37.5" customHeight="1" x14ac:dyDescent="0.3">
      <c r="B101" s="21"/>
      <c r="C101" s="50" t="s">
        <v>75</v>
      </c>
      <c r="F101" s="234" t="str">
        <f>$F$8</f>
        <v>Vedlejší náklady, Ostatní náklady</v>
      </c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73" t="str">
        <f>$F$10</f>
        <v>Litvínov</v>
      </c>
      <c r="G103" s="273"/>
      <c r="H103" s="273"/>
      <c r="I103" s="273"/>
      <c r="L103" s="18" t="s">
        <v>16</v>
      </c>
      <c r="M103" s="235">
        <f ca="1">IF($O$10="","",$O$10)</f>
        <v>45238</v>
      </c>
      <c r="N103" s="208"/>
      <c r="O103" s="208"/>
      <c r="P103" s="208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9" t="str">
        <f>$E$19</f>
        <v>YOUNG4ENERGY s.r.o.</v>
      </c>
      <c r="N105" s="208"/>
      <c r="O105" s="208"/>
      <c r="P105" s="208"/>
      <c r="Q105" s="208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9" t="str">
        <f>$E$22</f>
        <v>YOUNG4ENERGY s.r.o.</v>
      </c>
      <c r="N106" s="208"/>
      <c r="O106" s="208"/>
      <c r="P106" s="208"/>
      <c r="Q106" s="208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12">
        <f>N110+N133</f>
        <v>0</v>
      </c>
      <c r="O109" s="208"/>
      <c r="P109" s="208"/>
      <c r="Q109" s="208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118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76">
        <f>N111</f>
        <v>0</v>
      </c>
      <c r="O110" s="263"/>
      <c r="P110" s="263"/>
      <c r="Q110" s="263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126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2">
        <f>SUM(N112:Q132)</f>
        <v>0</v>
      </c>
      <c r="O111" s="263"/>
      <c r="P111" s="263"/>
      <c r="Q111" s="263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264" t="s">
        <v>131</v>
      </c>
      <c r="G112" s="265"/>
      <c r="H112" s="265"/>
      <c r="I112" s="266"/>
      <c r="J112" s="158" t="s">
        <v>100</v>
      </c>
      <c r="K112" s="121">
        <v>1</v>
      </c>
      <c r="L112" s="246">
        <v>0</v>
      </c>
      <c r="M112" s="247">
        <v>38900</v>
      </c>
      <c r="N112" s="248">
        <f t="shared" ref="N112:N132" si="0">ROUND(L112*K112,2)</f>
        <v>0</v>
      </c>
      <c r="O112" s="249"/>
      <c r="P112" s="249"/>
      <c r="Q112" s="250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41" t="s">
        <v>132</v>
      </c>
      <c r="G113" s="242"/>
      <c r="H113" s="242"/>
      <c r="I113" s="243"/>
      <c r="J113" s="158" t="s">
        <v>100</v>
      </c>
      <c r="K113" s="121">
        <v>1</v>
      </c>
      <c r="L113" s="246">
        <v>0</v>
      </c>
      <c r="M113" s="247">
        <v>33400</v>
      </c>
      <c r="N113" s="248">
        <f t="shared" si="0"/>
        <v>0</v>
      </c>
      <c r="O113" s="249"/>
      <c r="P113" s="249"/>
      <c r="Q113" s="250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41" t="s">
        <v>128</v>
      </c>
      <c r="G114" s="242"/>
      <c r="H114" s="242"/>
      <c r="I114" s="243"/>
      <c r="J114" s="158" t="s">
        <v>100</v>
      </c>
      <c r="K114" s="121">
        <v>1</v>
      </c>
      <c r="L114" s="246">
        <v>0</v>
      </c>
      <c r="M114" s="247">
        <v>27800</v>
      </c>
      <c r="N114" s="248">
        <f t="shared" si="0"/>
        <v>0</v>
      </c>
      <c r="O114" s="249"/>
      <c r="P114" s="249"/>
      <c r="Q114" s="250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41" t="s">
        <v>119</v>
      </c>
      <c r="G115" s="242"/>
      <c r="H115" s="242"/>
      <c r="I115" s="243"/>
      <c r="J115" s="158" t="s">
        <v>100</v>
      </c>
      <c r="K115" s="121">
        <v>1</v>
      </c>
      <c r="L115" s="246">
        <v>0</v>
      </c>
      <c r="M115" s="247">
        <v>27800</v>
      </c>
      <c r="N115" s="248">
        <f t="shared" si="0"/>
        <v>0</v>
      </c>
      <c r="O115" s="249"/>
      <c r="P115" s="249"/>
      <c r="Q115" s="250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41" t="s">
        <v>120</v>
      </c>
      <c r="G116" s="242"/>
      <c r="H116" s="242"/>
      <c r="I116" s="243"/>
      <c r="J116" s="158" t="s">
        <v>100</v>
      </c>
      <c r="K116" s="121">
        <v>1</v>
      </c>
      <c r="L116" s="246">
        <v>0</v>
      </c>
      <c r="M116" s="247">
        <v>38900</v>
      </c>
      <c r="N116" s="248">
        <f t="shared" si="0"/>
        <v>0</v>
      </c>
      <c r="O116" s="249"/>
      <c r="P116" s="249"/>
      <c r="Q116" s="250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41" t="s">
        <v>133</v>
      </c>
      <c r="G117" s="242"/>
      <c r="H117" s="242"/>
      <c r="I117" s="243"/>
      <c r="J117" s="158" t="s">
        <v>100</v>
      </c>
      <c r="K117" s="121">
        <v>1</v>
      </c>
      <c r="L117" s="246">
        <v>0</v>
      </c>
      <c r="M117" s="247">
        <v>138900</v>
      </c>
      <c r="N117" s="248">
        <f t="shared" si="0"/>
        <v>0</v>
      </c>
      <c r="O117" s="249"/>
      <c r="P117" s="249"/>
      <c r="Q117" s="250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41" t="s">
        <v>121</v>
      </c>
      <c r="G118" s="242"/>
      <c r="H118" s="242"/>
      <c r="I118" s="243"/>
      <c r="J118" s="158" t="s">
        <v>100</v>
      </c>
      <c r="K118" s="121">
        <v>1</v>
      </c>
      <c r="L118" s="246">
        <v>0</v>
      </c>
      <c r="M118" s="247">
        <v>33400</v>
      </c>
      <c r="N118" s="248">
        <f t="shared" si="0"/>
        <v>0</v>
      </c>
      <c r="O118" s="249"/>
      <c r="P118" s="249"/>
      <c r="Q118" s="250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41" t="s">
        <v>122</v>
      </c>
      <c r="G119" s="242"/>
      <c r="H119" s="242"/>
      <c r="I119" s="243"/>
      <c r="J119" s="158" t="s">
        <v>100</v>
      </c>
      <c r="K119" s="121">
        <v>1</v>
      </c>
      <c r="L119" s="246">
        <v>0</v>
      </c>
      <c r="M119" s="247">
        <v>38900</v>
      </c>
      <c r="N119" s="248">
        <f t="shared" si="0"/>
        <v>0</v>
      </c>
      <c r="O119" s="249"/>
      <c r="P119" s="249"/>
      <c r="Q119" s="250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41" t="s">
        <v>150</v>
      </c>
      <c r="G120" s="242"/>
      <c r="H120" s="242"/>
      <c r="I120" s="243"/>
      <c r="J120" s="158" t="s">
        <v>100</v>
      </c>
      <c r="K120" s="121">
        <v>1</v>
      </c>
      <c r="L120" s="246">
        <v>0</v>
      </c>
      <c r="M120" s="247">
        <v>55600</v>
      </c>
      <c r="N120" s="248">
        <f t="shared" si="0"/>
        <v>0</v>
      </c>
      <c r="O120" s="249"/>
      <c r="P120" s="249"/>
      <c r="Q120" s="250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41" t="s">
        <v>151</v>
      </c>
      <c r="G121" s="242"/>
      <c r="H121" s="242"/>
      <c r="I121" s="243"/>
      <c r="J121" s="158" t="s">
        <v>100</v>
      </c>
      <c r="K121" s="121">
        <v>1</v>
      </c>
      <c r="L121" s="246">
        <v>0</v>
      </c>
      <c r="M121" s="247">
        <v>83400</v>
      </c>
      <c r="N121" s="248">
        <f t="shared" si="0"/>
        <v>0</v>
      </c>
      <c r="O121" s="249"/>
      <c r="P121" s="249"/>
      <c r="Q121" s="250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41" t="s">
        <v>146</v>
      </c>
      <c r="G122" s="242"/>
      <c r="H122" s="242"/>
      <c r="I122" s="243"/>
      <c r="J122" s="158" t="s">
        <v>100</v>
      </c>
      <c r="K122" s="121">
        <v>1</v>
      </c>
      <c r="L122" s="246">
        <v>0</v>
      </c>
      <c r="M122" s="247">
        <v>55600</v>
      </c>
      <c r="N122" s="248">
        <f t="shared" si="0"/>
        <v>0</v>
      </c>
      <c r="O122" s="249"/>
      <c r="P122" s="249"/>
      <c r="Q122" s="250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41" t="s">
        <v>147</v>
      </c>
      <c r="G123" s="242"/>
      <c r="H123" s="242"/>
      <c r="I123" s="243"/>
      <c r="J123" s="158" t="s">
        <v>100</v>
      </c>
      <c r="K123" s="121">
        <v>1</v>
      </c>
      <c r="L123" s="246">
        <v>0</v>
      </c>
      <c r="M123" s="247">
        <v>83400</v>
      </c>
      <c r="N123" s="248">
        <f t="shared" si="0"/>
        <v>0</v>
      </c>
      <c r="O123" s="249"/>
      <c r="P123" s="249"/>
      <c r="Q123" s="250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41" t="s">
        <v>129</v>
      </c>
      <c r="G124" s="242"/>
      <c r="H124" s="242"/>
      <c r="I124" s="243"/>
      <c r="J124" s="158" t="s">
        <v>100</v>
      </c>
      <c r="K124" s="121">
        <v>1</v>
      </c>
      <c r="L124" s="246">
        <v>0</v>
      </c>
      <c r="M124" s="247">
        <v>55600</v>
      </c>
      <c r="N124" s="248">
        <f t="shared" si="0"/>
        <v>0</v>
      </c>
      <c r="O124" s="249"/>
      <c r="P124" s="249"/>
      <c r="Q124" s="250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41" t="s">
        <v>123</v>
      </c>
      <c r="G125" s="242"/>
      <c r="H125" s="242"/>
      <c r="I125" s="243"/>
      <c r="J125" s="158" t="s">
        <v>100</v>
      </c>
      <c r="K125" s="121">
        <v>1</v>
      </c>
      <c r="L125" s="246">
        <v>0</v>
      </c>
      <c r="M125" s="247">
        <v>22300</v>
      </c>
      <c r="N125" s="248">
        <f t="shared" si="0"/>
        <v>0</v>
      </c>
      <c r="O125" s="249"/>
      <c r="P125" s="249"/>
      <c r="Q125" s="250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41" t="s">
        <v>130</v>
      </c>
      <c r="G126" s="242"/>
      <c r="H126" s="242"/>
      <c r="I126" s="243"/>
      <c r="J126" s="158" t="s">
        <v>100</v>
      </c>
      <c r="K126" s="121">
        <v>1</v>
      </c>
      <c r="L126" s="246">
        <v>0</v>
      </c>
      <c r="M126" s="247">
        <v>38900</v>
      </c>
      <c r="N126" s="248">
        <f t="shared" si="0"/>
        <v>0</v>
      </c>
      <c r="O126" s="249"/>
      <c r="P126" s="249"/>
      <c r="Q126" s="250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41" t="s">
        <v>124</v>
      </c>
      <c r="G127" s="242"/>
      <c r="H127" s="242"/>
      <c r="I127" s="243"/>
      <c r="J127" s="158" t="s">
        <v>100</v>
      </c>
      <c r="K127" s="121">
        <v>1</v>
      </c>
      <c r="L127" s="246">
        <v>0</v>
      </c>
      <c r="M127" s="247">
        <v>111200</v>
      </c>
      <c r="N127" s="248">
        <f t="shared" si="0"/>
        <v>0</v>
      </c>
      <c r="O127" s="249"/>
      <c r="P127" s="249"/>
      <c r="Q127" s="250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41" t="s">
        <v>152</v>
      </c>
      <c r="G128" s="242"/>
      <c r="H128" s="242"/>
      <c r="I128" s="243"/>
      <c r="J128" s="159" t="s">
        <v>100</v>
      </c>
      <c r="K128" s="121">
        <v>1</v>
      </c>
      <c r="L128" s="246">
        <v>0</v>
      </c>
      <c r="M128" s="247">
        <v>111200</v>
      </c>
      <c r="N128" s="248">
        <f t="shared" si="0"/>
        <v>0</v>
      </c>
      <c r="O128" s="249"/>
      <c r="P128" s="249"/>
      <c r="Q128" s="250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41" t="s">
        <v>153</v>
      </c>
      <c r="G129" s="242"/>
      <c r="H129" s="242"/>
      <c r="I129" s="243"/>
      <c r="J129" s="159" t="s">
        <v>100</v>
      </c>
      <c r="K129" s="121">
        <v>1</v>
      </c>
      <c r="L129" s="246">
        <v>0</v>
      </c>
      <c r="M129" s="247">
        <v>83400</v>
      </c>
      <c r="N129" s="248">
        <f t="shared" si="0"/>
        <v>0</v>
      </c>
      <c r="O129" s="249"/>
      <c r="P129" s="249"/>
      <c r="Q129" s="250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41" t="s">
        <v>219</v>
      </c>
      <c r="G130" s="242"/>
      <c r="H130" s="242"/>
      <c r="I130" s="243"/>
      <c r="J130" s="159" t="s">
        <v>100</v>
      </c>
      <c r="K130" s="121">
        <v>1</v>
      </c>
      <c r="L130" s="246">
        <v>0</v>
      </c>
      <c r="M130" s="247">
        <v>83400</v>
      </c>
      <c r="N130" s="248">
        <f t="shared" si="0"/>
        <v>0</v>
      </c>
      <c r="O130" s="249"/>
      <c r="P130" s="249"/>
      <c r="Q130" s="250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41" t="s">
        <v>145</v>
      </c>
      <c r="G131" s="242"/>
      <c r="H131" s="242"/>
      <c r="I131" s="243"/>
      <c r="J131" s="159" t="s">
        <v>100</v>
      </c>
      <c r="K131" s="121">
        <v>1</v>
      </c>
      <c r="L131" s="246">
        <v>0</v>
      </c>
      <c r="M131" s="247">
        <v>27800</v>
      </c>
      <c r="N131" s="248">
        <f t="shared" si="0"/>
        <v>0</v>
      </c>
      <c r="O131" s="249"/>
      <c r="P131" s="249"/>
      <c r="Q131" s="250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32.45" customHeight="1" x14ac:dyDescent="0.3">
      <c r="B132" s="21"/>
      <c r="C132" s="120">
        <f t="shared" si="2"/>
        <v>21</v>
      </c>
      <c r="D132" s="122"/>
      <c r="E132" s="155"/>
      <c r="F132" s="241" t="s">
        <v>225</v>
      </c>
      <c r="G132" s="242"/>
      <c r="H132" s="242"/>
      <c r="I132" s="243"/>
      <c r="J132" s="159" t="s">
        <v>100</v>
      </c>
      <c r="K132" s="121">
        <v>1</v>
      </c>
      <c r="L132" s="246">
        <v>0</v>
      </c>
      <c r="M132" s="247">
        <v>55600</v>
      </c>
      <c r="N132" s="248">
        <f t="shared" si="0"/>
        <v>0</v>
      </c>
      <c r="O132" s="249"/>
      <c r="P132" s="249"/>
      <c r="Q132" s="250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125</v>
      </c>
      <c r="E133" s="101"/>
      <c r="F133" s="171"/>
      <c r="G133" s="171"/>
      <c r="H133" s="171"/>
      <c r="I133" s="171"/>
      <c r="J133" s="101"/>
      <c r="K133" s="101"/>
      <c r="L133" s="101"/>
      <c r="M133" s="101"/>
      <c r="N133" s="276">
        <f>N134</f>
        <v>0</v>
      </c>
      <c r="O133" s="263"/>
      <c r="P133" s="263"/>
      <c r="Q133" s="263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141</v>
      </c>
      <c r="E134" s="112"/>
      <c r="F134" s="196"/>
      <c r="G134" s="196"/>
      <c r="H134" s="196"/>
      <c r="I134" s="196"/>
      <c r="J134" s="112"/>
      <c r="K134" s="112"/>
      <c r="L134" s="112"/>
      <c r="M134" s="112"/>
      <c r="N134" s="262">
        <f>SUM(N135:Q139)</f>
        <v>0</v>
      </c>
      <c r="O134" s="263"/>
      <c r="P134" s="263"/>
      <c r="Q134" s="263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41" t="s">
        <v>138</v>
      </c>
      <c r="G135" s="242"/>
      <c r="H135" s="242"/>
      <c r="I135" s="243"/>
      <c r="J135" s="159" t="s">
        <v>100</v>
      </c>
      <c r="K135" s="121">
        <v>1</v>
      </c>
      <c r="L135" s="246">
        <v>0</v>
      </c>
      <c r="M135" s="247">
        <v>27800</v>
      </c>
      <c r="N135" s="248">
        <f>ROUND(L135*K135,2)</f>
        <v>0</v>
      </c>
      <c r="O135" s="249"/>
      <c r="P135" s="249"/>
      <c r="Q135" s="250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07" t="s">
        <v>137</v>
      </c>
      <c r="G136" s="308"/>
      <c r="H136" s="308"/>
      <c r="I136" s="309"/>
      <c r="J136" s="159" t="s">
        <v>100</v>
      </c>
      <c r="K136" s="121">
        <v>1</v>
      </c>
      <c r="L136" s="246">
        <v>0</v>
      </c>
      <c r="M136" s="247">
        <v>27800</v>
      </c>
      <c r="N136" s="248">
        <f>ROUND(L136*K136,2)</f>
        <v>0</v>
      </c>
      <c r="O136" s="249"/>
      <c r="P136" s="249"/>
      <c r="Q136" s="250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s="7" customFormat="1" ht="52.5" customHeight="1" x14ac:dyDescent="0.3">
      <c r="B137" s="21"/>
      <c r="C137" s="120">
        <f>C136+1</f>
        <v>24</v>
      </c>
      <c r="D137" s="122"/>
      <c r="E137" s="155"/>
      <c r="F137" s="306" t="s">
        <v>223</v>
      </c>
      <c r="G137" s="245"/>
      <c r="H137" s="245"/>
      <c r="I137" s="245"/>
      <c r="J137" s="159" t="s">
        <v>100</v>
      </c>
      <c r="K137" s="121">
        <v>1</v>
      </c>
      <c r="L137" s="246">
        <v>0</v>
      </c>
      <c r="M137" s="247">
        <v>138900</v>
      </c>
      <c r="N137" s="248">
        <f>ROUND(L137*K137,2)</f>
        <v>0</v>
      </c>
      <c r="O137" s="249"/>
      <c r="P137" s="249"/>
      <c r="Q137" s="250"/>
      <c r="R137" s="22"/>
      <c r="T137" s="109"/>
      <c r="U137" s="27"/>
      <c r="V137" s="119"/>
      <c r="W137" s="119"/>
      <c r="X137" s="119"/>
      <c r="Y137" s="119"/>
      <c r="Z137" s="119"/>
      <c r="AA137" s="119"/>
      <c r="BE137" s="80"/>
      <c r="BF137" s="80"/>
      <c r="BG137" s="80"/>
      <c r="BH137" s="80"/>
      <c r="BI137" s="80"/>
      <c r="BK137" s="80"/>
    </row>
    <row r="138" spans="2:63" s="7" customFormat="1" ht="52.5" customHeight="1" x14ac:dyDescent="0.3">
      <c r="B138" s="21"/>
      <c r="C138" s="120">
        <f>C137+1</f>
        <v>25</v>
      </c>
      <c r="D138" s="122"/>
      <c r="E138" s="155"/>
      <c r="F138" s="306" t="s">
        <v>224</v>
      </c>
      <c r="G138" s="245"/>
      <c r="H138" s="245"/>
      <c r="I138" s="245"/>
      <c r="J138" s="159" t="s">
        <v>100</v>
      </c>
      <c r="K138" s="121">
        <v>1</v>
      </c>
      <c r="L138" s="246">
        <v>0</v>
      </c>
      <c r="M138" s="247">
        <v>111200</v>
      </c>
      <c r="N138" s="248">
        <f>ROUND(L138*K138,2)</f>
        <v>0</v>
      </c>
      <c r="O138" s="249"/>
      <c r="P138" s="249"/>
      <c r="Q138" s="250"/>
      <c r="R138" s="22"/>
      <c r="T138" s="109"/>
      <c r="U138" s="27"/>
      <c r="V138" s="119"/>
      <c r="W138" s="119"/>
      <c r="X138" s="119"/>
      <c r="Y138" s="119"/>
      <c r="Z138" s="119"/>
      <c r="AA138" s="119"/>
      <c r="BE138" s="80"/>
      <c r="BF138" s="80"/>
      <c r="BG138" s="80"/>
      <c r="BH138" s="80"/>
      <c r="BI138" s="80"/>
      <c r="BK138" s="80"/>
    </row>
    <row r="139" spans="2:63" s="7" customFormat="1" ht="52.5" customHeight="1" x14ac:dyDescent="0.3">
      <c r="B139" s="21"/>
      <c r="C139" s="120">
        <f>C138+1</f>
        <v>26</v>
      </c>
      <c r="D139" s="122"/>
      <c r="E139" s="155"/>
      <c r="F139" s="306" t="s">
        <v>244</v>
      </c>
      <c r="G139" s="245"/>
      <c r="H139" s="245"/>
      <c r="I139" s="245"/>
      <c r="J139" s="159" t="s">
        <v>100</v>
      </c>
      <c r="K139" s="121">
        <v>1</v>
      </c>
      <c r="L139" s="246">
        <v>0</v>
      </c>
      <c r="M139" s="247">
        <v>97300</v>
      </c>
      <c r="N139" s="248">
        <f>ROUND(L139*K139,2)</f>
        <v>0</v>
      </c>
      <c r="O139" s="249"/>
      <c r="P139" s="249"/>
      <c r="Q139" s="250"/>
      <c r="R139" s="22"/>
      <c r="T139" s="109"/>
      <c r="U139" s="27"/>
      <c r="V139" s="119"/>
      <c r="W139" s="119"/>
      <c r="X139" s="119"/>
      <c r="Y139" s="119"/>
      <c r="Z139" s="119"/>
      <c r="AA139" s="119"/>
      <c r="BE139" s="80"/>
      <c r="BF139" s="80"/>
      <c r="BG139" s="80"/>
      <c r="BH139" s="80"/>
      <c r="BI139" s="80"/>
      <c r="BK139" s="80"/>
    </row>
    <row r="140" spans="2:63" ht="14.25" customHeight="1" x14ac:dyDescent="0.3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110"/>
    </row>
  </sheetData>
  <sheetProtection algorithmName="SHA-512" hashValue="J2gTWU6cT/5Gd7YdttHjKI4a0Fqq3+wJGeYDHpdghBP0DUlAQ9K0raX6cEugBYYEu0UYA90VKf+URekBYFEp8Q==" saltValue="8XQI2M36nvK6rVfrYtXS8w==" spinCount="100000" sheet="1" objects="1" scenarios="1" selectLockedCells="1"/>
  <mergeCells count="138"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847FD2927C94AA8D4177FD74A5B3E" ma:contentTypeVersion="9" ma:contentTypeDescription="Vytvoří nový dokument" ma:contentTypeScope="" ma:versionID="2f9757bd0fae9e034d5db38a5178d10a">
  <xsd:schema xmlns:xsd="http://www.w3.org/2001/XMLSchema" xmlns:xs="http://www.w3.org/2001/XMLSchema" xmlns:p="http://schemas.microsoft.com/office/2006/metadata/properties" xmlns:ns2="daaf7cb5-f724-4fdc-b715-5d6af77011cc" xmlns:ns3="0875ebb0-a0df-49ee-8b32-c6d75c750aff" targetNamespace="http://schemas.microsoft.com/office/2006/metadata/properties" ma:root="true" ma:fieldsID="3c87658f68eb5be8b122fbd28b1eb1db" ns2:_="" ns3:_="">
    <xsd:import namespace="daaf7cb5-f724-4fdc-b715-5d6af77011cc"/>
    <xsd:import namespace="0875ebb0-a0df-49ee-8b32-c6d75c750a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7cb5-f724-4fdc-b715-5d6af7701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5ebb0-a0df-49ee-8b32-c6d75c750af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0e0083-9b13-461e-ae0f-11e745a48044}" ma:internalName="TaxCatchAll" ma:showField="CatchAllData" ma:web="0875ebb0-a0df-49ee-8b32-c6d75c750a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5ebb0-a0df-49ee-8b32-c6d75c750aff" xsi:nil="true"/>
    <lcf76f155ced4ddcb4097134ff3c332f xmlns="daaf7cb5-f724-4fdc-b715-5d6af77011c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94C28B-A809-442B-B87F-7DC6F38192F1}"/>
</file>

<file path=customXml/itemProps2.xml><?xml version="1.0" encoding="utf-8"?>
<ds:datastoreItem xmlns:ds="http://schemas.openxmlformats.org/officeDocument/2006/customXml" ds:itemID="{54548899-DE75-45C0-A916-23036A7DDC93}"/>
</file>

<file path=customXml/itemProps3.xml><?xml version="1.0" encoding="utf-8"?>
<ds:datastoreItem xmlns:ds="http://schemas.openxmlformats.org/officeDocument/2006/customXml" ds:itemID="{B6C668A2-DF3F-44F2-A9D3-2C1210011E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SO01</vt:lpstr>
      <vt:lpstr>SO02</vt:lpstr>
      <vt:lpstr>SO03</vt:lpstr>
      <vt:lpstr>SO04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 Heneš</cp:lastModifiedBy>
  <cp:lastPrinted>2021-05-25T15:09:11Z</cp:lastPrinted>
  <dcterms:created xsi:type="dcterms:W3CDTF">2019-04-25T07:42:54Z</dcterms:created>
  <dcterms:modified xsi:type="dcterms:W3CDTF">2023-11-08T08:19:53Z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0x0101000DA847FD2927C94AA8D4177FD74A5B3E</vt:lpwstr>
  </property>
</Properties>
</file>